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9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tabRatio="813" activeTab="8"/>
  </bookViews>
  <sheets>
    <sheet name="Getting Started" sheetId="1" r:id="rId1"/>
    <sheet name="Wings" sheetId="2" r:id="rId2"/>
    <sheet name="H. Stab &amp; Canard" sheetId="3" r:id="rId3"/>
    <sheet name="V. Stab &amp; V-Tail" sheetId="4" r:id="rId4"/>
    <sheet name="Fuselage" sheetId="5" r:id="rId5"/>
    <sheet name="Weights" sheetId="6" r:id="rId6"/>
    <sheet name="Point Masses" sheetId="7" r:id="rId7"/>
    <sheet name="Top View" sheetId="8" r:id="rId8"/>
    <sheet name="Results" sheetId="9" r:id="rId9"/>
    <sheet name="References" sheetId="10" r:id="rId10"/>
  </sheets>
  <externalReferences>
    <externalReference r:id="rId13"/>
  </externalReferences>
  <definedNames>
    <definedName name="_xac1">'Results'!$G$16</definedName>
    <definedName name="_xac2">'Results'!$K$16</definedName>
    <definedName name="_xac3">'Results'!$O$16</definedName>
    <definedName name="auw">'Results'!$C$8</definedName>
    <definedName name="canard_ac">'H. Stab &amp; Canard'!$D$46</definedName>
    <definedName name="canard_area">'H. Stab &amp; Canard'!$B$47</definedName>
    <definedName name="canard_cx">'H. Stab &amp; Canard'!$B$49</definedName>
    <definedName name="canard_liftslope">'H. Stab &amp; Canard'!$D$50</definedName>
    <definedName name="canard_w">'Weights'!$B$16</definedName>
    <definedName name="canard_x">'Weights'!$F$16</definedName>
    <definedName name="canard_y">'Weights'!$G$16</definedName>
    <definedName name="cgx">'Results'!$C$4</definedName>
    <definedName name="CLac">'Results'!$O$28</definedName>
    <definedName name="CLah">'Results'!$C$30</definedName>
    <definedName name="CLav">'Results'!$G$33</definedName>
    <definedName name="CLaw1">'Results'!$G$18</definedName>
    <definedName name="CLaw2">'Results'!$K$18</definedName>
    <definedName name="CLaw3">'Results'!$O$18</definedName>
    <definedName name="Cmac">'Results'!$O$30</definedName>
    <definedName name="Cmaf">'Results'!$K$28</definedName>
    <definedName name="Cmah">'Results'!$C$37</definedName>
    <definedName name="Cmav">'Results'!$G$41</definedName>
    <definedName name="Cmaw1">'Results'!$G$19</definedName>
    <definedName name="Cmaw2">'Results'!$K$19</definedName>
    <definedName name="Cmaw3">'Results'!$O$19</definedName>
    <definedName name="dedah">'Results'!$C$34</definedName>
    <definedName name="dedav">'Results'!$G$37</definedName>
    <definedName name="empty_weight">'Weights'!$D$24</definedName>
    <definedName name="empty_x">'Weights'!$D$25</definedName>
    <definedName name="empty_y">'Weights'!$D$26</definedName>
    <definedName name="fuse_area">'Fuselage'!$H$31</definedName>
    <definedName name="fuse_cx">'Fuselage'!$H$32</definedName>
    <definedName name="fuse_cy">'Fuselage'!$H$33</definedName>
    <definedName name="fuse_dcmda">'Fuselage'!$C$37</definedName>
    <definedName name="fuse_w">'Weights'!$B$14</definedName>
    <definedName name="fuse_x">'Weights'!$F$14</definedName>
    <definedName name="fuse_y">'Weights'!$G$14</definedName>
    <definedName name="hstab_ac">'H. Stab &amp; Canard'!$D$20</definedName>
    <definedName name="hstab_area">'H. Stab &amp; Canard'!$B$21</definedName>
    <definedName name="hstab_cx">'H. Stab &amp; Canard'!$B$23</definedName>
    <definedName name="hstab_liftslope">'H. Stab &amp; Canard'!$D$24</definedName>
    <definedName name="hstab_w">'Weights'!$B$15</definedName>
    <definedName name="hstab_x">'Weights'!$F$15</definedName>
    <definedName name="hstab_y">'Weights'!$G$15</definedName>
    <definedName name="hstab_z">'H. Stab &amp; Canard'!$D$5</definedName>
    <definedName name="neutral_point">'Results'!$C$6</definedName>
    <definedName name="nh">'Results'!$C$36</definedName>
    <definedName name="nv">'Results'!$G$39</definedName>
    <definedName name="point_weight">'Point Masses'!$C$30</definedName>
    <definedName name="point_x">'Point Masses'!$D$30</definedName>
    <definedName name="point_y">'Point Masses'!$E$30</definedName>
    <definedName name="quarter_sweep">'Results'!$C$22</definedName>
    <definedName name="ref_AC">'Results'!$C$17</definedName>
    <definedName name="ref_AR">'Results'!$C$19</definedName>
    <definedName name="ref_lam">'Results'!$C$20</definedName>
    <definedName name="ref_MAC">'Results'!$C$16</definedName>
    <definedName name="ref_span">'Results'!$C$15</definedName>
    <definedName name="static_margin">'Results'!$C$7</definedName>
    <definedName name="trailing_edge">'Results'!$C$21</definedName>
    <definedName name="Vc">'Results'!$O$29</definedName>
    <definedName name="Vh">'Results'!$C$35</definedName>
    <definedName name="vstab_ac">'V. Stab &amp; V-Tail'!$D$24</definedName>
    <definedName name="vstab_area">'V. Stab &amp; V-Tail'!$B$24</definedName>
    <definedName name="vstab_cx">'V. Stab &amp; V-Tail'!$B$25</definedName>
    <definedName name="vstab_w">'Weights'!$B$17</definedName>
    <definedName name="vstab_x">'Weights'!$F$17</definedName>
    <definedName name="vstab_y">'Weights'!$G$17</definedName>
    <definedName name="vtail_cx">'[1]V. Stab &amp; V-Tail'!$I$42</definedName>
    <definedName name="vtail_harea">'V. Stab &amp; V-Tail'!$B$30</definedName>
    <definedName name="vtail_liftslope">'V. Stab &amp; V-Tail'!$D$30</definedName>
    <definedName name="vtail_varea">'V. Stab &amp; V-Tail'!$B$29</definedName>
    <definedName name="vtail_z">'V. Stab &amp; V-Tail'!$D$25</definedName>
    <definedName name="Vv">'Results'!$G$38</definedName>
    <definedName name="wing_area">'Results'!$C$14</definedName>
    <definedName name="wing1_acx">'Wings'!$D$20</definedName>
    <definedName name="wing1_ar">'Wings'!$B$22</definedName>
    <definedName name="wing1_area">'Wings'!$B$21</definedName>
    <definedName name="wing1_cx">'Wings'!$B$23</definedName>
    <definedName name="wing1_cy">'Wings'!$B$24</definedName>
    <definedName name="wing1_halfsweep">'Wings'!$D$21</definedName>
    <definedName name="wing1_lam">'Wings'!$D$23</definedName>
    <definedName name="wing1_liftslope">'Wings'!$D$24</definedName>
    <definedName name="wing1_mac">'Wings'!$B$25</definedName>
    <definedName name="wing1_quartersweep">'Wings'!$D$22</definedName>
    <definedName name="wing1_rte">'Wings'!$U$4</definedName>
    <definedName name="wing1_span">'Wings'!$B$20</definedName>
    <definedName name="wing1_w">'Weights'!$B$11</definedName>
    <definedName name="wing1_x">'Weights'!$F$11</definedName>
    <definedName name="wing1_y">'Weights'!$G$11</definedName>
    <definedName name="wing2_acx">'Wings'!$D$46</definedName>
    <definedName name="wing2_ar">'Wings'!$B$48</definedName>
    <definedName name="wing2_area">'Wings'!$B$47</definedName>
    <definedName name="wing2_cx">'Wings'!$B$49</definedName>
    <definedName name="wing2_cy">'Wings'!$B$50</definedName>
    <definedName name="wing2_halfsweep">'Wings'!$D$47</definedName>
    <definedName name="wing2_height">'Wings'!$D$31</definedName>
    <definedName name="wing2_lam">'Wings'!$D$49</definedName>
    <definedName name="wing2_liftslope">'Wings'!$D$50</definedName>
    <definedName name="wing2_mac">'Wings'!$B$51</definedName>
    <definedName name="wing2_quartersweep">'Wings'!$D$48</definedName>
    <definedName name="wing2_rte">'Wings'!$U$30</definedName>
    <definedName name="wing2_span">'Wings'!$B$46</definedName>
    <definedName name="wing2_w">'Weights'!$B$12</definedName>
    <definedName name="wing2_x">'Weights'!$F$12</definedName>
    <definedName name="wing2_y">'Weights'!$G$12</definedName>
    <definedName name="wing3_acx">'Wings'!$D$72</definedName>
    <definedName name="wing3_ar">'Wings'!$B$74</definedName>
    <definedName name="wing3_area">'Wings'!$B$73</definedName>
    <definedName name="wing3_cx">'Wings'!$B$75</definedName>
    <definedName name="wing3_cy">'Wings'!$B$76</definedName>
    <definedName name="wing3_halfsweep">'Wings'!$D$73</definedName>
    <definedName name="wing3_height">'Wings'!$D$57</definedName>
    <definedName name="wing3_lam">'Wings'!$D$75</definedName>
    <definedName name="wing3_liftslope">'Wings'!$D$76</definedName>
    <definedName name="wing3_mac">'Wings'!$B$77</definedName>
    <definedName name="wing3_quartersweep">'Wings'!$D$74</definedName>
    <definedName name="wing3_rte">'Wings'!$U$56</definedName>
    <definedName name="wing3_span">'Wings'!$B$72</definedName>
    <definedName name="wing3_w">'Weights'!$B$13</definedName>
    <definedName name="wing3_x">'Weights'!$F$13</definedName>
    <definedName name="wing3_y">'Weights'!$G$13</definedName>
    <definedName name="z_center">'Results'!$C$18</definedName>
  </definedNames>
  <calcPr fullCalcOnLoad="1"/>
</workbook>
</file>

<file path=xl/comments4.xml><?xml version="1.0" encoding="utf-8"?>
<comments xmlns="http://schemas.openxmlformats.org/spreadsheetml/2006/main">
  <authors>
    <author>Daniel Prosser</author>
  </authors>
  <commentList>
    <comment ref="B19" authorId="0">
      <text>
        <r>
          <rPr>
            <sz val="8"/>
            <rFont val="Tahoma"/>
            <family val="0"/>
          </rPr>
          <t>Enter 90 for a normal vertical stabilizer and &lt; 90 for a V-Tail</t>
        </r>
      </text>
    </comment>
  </commentList>
</comments>
</file>

<file path=xl/comments6.xml><?xml version="1.0" encoding="utf-8"?>
<comments xmlns="http://schemas.openxmlformats.org/spreadsheetml/2006/main">
  <authors>
    <author>Daniel Prosser</author>
  </authors>
  <commentList>
    <comment ref="D10" authorId="0">
      <text>
        <r>
          <rPr>
            <sz val="8"/>
            <rFont val="Tahoma"/>
            <family val="0"/>
          </rPr>
          <t>Cells in this column are only used if "Auto Balance" is unchecked.</t>
        </r>
      </text>
    </comment>
    <comment ref="E10" authorId="0">
      <text>
        <r>
          <rPr>
            <sz val="8"/>
            <rFont val="Tahoma"/>
            <family val="0"/>
          </rPr>
          <t>Cells in this column are only used if "Auto Balance" is unchecked.</t>
        </r>
      </text>
    </comment>
  </commentList>
</comments>
</file>

<file path=xl/comments9.xml><?xml version="1.0" encoding="utf-8"?>
<comments xmlns="http://schemas.openxmlformats.org/spreadsheetml/2006/main">
  <authors>
    <author>Daniel Prosser</author>
  </authors>
  <commentList>
    <comment ref="B9" authorId="0">
      <text>
        <r>
          <rPr>
            <sz val="8"/>
            <rFont val="Tahoma"/>
            <family val="0"/>
          </rPr>
          <t xml:space="preserve">Must be </t>
        </r>
        <r>
          <rPr>
            <b/>
            <sz val="8"/>
            <rFont val="Tahoma"/>
            <family val="0"/>
          </rPr>
          <t>&lt; 0</t>
        </r>
        <r>
          <rPr>
            <sz val="8"/>
            <rFont val="Tahoma"/>
            <family val="0"/>
          </rPr>
          <t xml:space="preserve"> for pitch stability</t>
        </r>
      </text>
    </comment>
    <comment ref="B8" authorId="0">
      <text>
        <r>
          <rPr>
            <sz val="8"/>
            <rFont val="Tahoma"/>
            <family val="0"/>
          </rPr>
          <t xml:space="preserve">Sum of airframe "empty" weight and point masses weight
</t>
        </r>
      </text>
    </comment>
    <comment ref="B7" authorId="0">
      <text>
        <r>
          <rPr>
            <sz val="8"/>
            <rFont val="Tahoma"/>
            <family val="0"/>
          </rPr>
          <t xml:space="preserve">Increases as the CG moves farther in front of the neutral point.  Most planes fly well with a static margin of </t>
        </r>
        <r>
          <rPr>
            <sz val="8"/>
            <rFont val="Tahoma"/>
            <family val="0"/>
          </rPr>
          <t>5 - 15%.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sz val="8"/>
            <rFont val="Tahoma"/>
            <family val="0"/>
          </rPr>
          <t>The CG (x location) must be in front of this point for pitch stability</t>
        </r>
      </text>
    </comment>
    <comment ref="B5" authorId="0">
      <text>
        <r>
          <rPr>
            <sz val="8"/>
            <rFont val="Tahoma"/>
            <family val="0"/>
          </rPr>
          <t xml:space="preserve">Balance point relative to the fuselage centerline
</t>
        </r>
      </text>
    </comment>
    <comment ref="B4" authorId="0">
      <text>
        <r>
          <rPr>
            <sz val="8"/>
            <rFont val="Tahoma"/>
            <family val="0"/>
          </rPr>
          <t>Balance point relative to the leading edge of the wing root</t>
        </r>
      </text>
    </comment>
  </commentList>
</comments>
</file>

<file path=xl/sharedStrings.xml><?xml version="1.0" encoding="utf-8"?>
<sst xmlns="http://schemas.openxmlformats.org/spreadsheetml/2006/main" count="513" uniqueCount="248">
  <si>
    <t>Wing 1</t>
  </si>
  <si>
    <t>Root chord</t>
  </si>
  <si>
    <t>y-offset</t>
  </si>
  <si>
    <t>Panel</t>
  </si>
  <si>
    <t>Tip Chord</t>
  </si>
  <si>
    <t>Length</t>
  </si>
  <si>
    <t>LE Sweep</t>
  </si>
  <si>
    <t>Dihedral (°)</t>
  </si>
  <si>
    <t>Inputs</t>
  </si>
  <si>
    <t>Outputs</t>
  </si>
  <si>
    <t>Span</t>
  </si>
  <si>
    <t>Planform Area</t>
  </si>
  <si>
    <t>Aspect Ratio</t>
  </si>
  <si>
    <t>Centroid x</t>
  </si>
  <si>
    <t>Centroid y</t>
  </si>
  <si>
    <t>M.A.C.</t>
  </si>
  <si>
    <t>Aero Center x</t>
  </si>
  <si>
    <t>Taper Ratio</t>
  </si>
  <si>
    <t>Wing 2</t>
  </si>
  <si>
    <t>Wing 3</t>
  </si>
  <si>
    <t>x</t>
  </si>
  <si>
    <t>y</t>
  </si>
  <si>
    <t>Point</t>
  </si>
  <si>
    <t>Top Right</t>
  </si>
  <si>
    <t>Bottom Right</t>
  </si>
  <si>
    <t>x-position</t>
  </si>
  <si>
    <t>Points arranged for plotting: Right Wing</t>
  </si>
  <si>
    <t>Points arranged for plotting: Left Wing</t>
  </si>
  <si>
    <t>Panels</t>
  </si>
  <si>
    <t>z-position</t>
  </si>
  <si>
    <t>0.5c Sweep (°)</t>
  </si>
  <si>
    <t>0.25c Swp. (°)</t>
  </si>
  <si>
    <r>
      <t>dCL/dα (rad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</si>
  <si>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MAC Line</t>
  </si>
  <si>
    <t>Horizontal Stabilizer</t>
  </si>
  <si>
    <t>Canard</t>
  </si>
  <si>
    <t>Points arranged for plotting: Right Stab</t>
  </si>
  <si>
    <t>Points arranged for plotting: Left Stab</t>
  </si>
  <si>
    <t>Points arranged for plotting: Right Canard</t>
  </si>
  <si>
    <t>Points arranged for plotting: Left Canard</t>
  </si>
  <si>
    <t>Stab TE</t>
  </si>
  <si>
    <t>z</t>
  </si>
  <si>
    <t>Points arranged for plotting</t>
  </si>
  <si>
    <t>Centroid z</t>
  </si>
  <si>
    <t>Equ. Area V.</t>
  </si>
  <si>
    <t>Equ. Area H.</t>
  </si>
  <si>
    <t>Vertical Stabilizer / V-Tail</t>
  </si>
  <si>
    <t>Stabilizers</t>
  </si>
  <si>
    <t>yleft</t>
  </si>
  <si>
    <t>yright</t>
  </si>
  <si>
    <t>Total Area</t>
  </si>
  <si>
    <t>Use multiple stabilizers and dihedral to create a V-Tail</t>
  </si>
  <si>
    <t>Stab LE - Surface Coords</t>
  </si>
  <si>
    <t>Getting Started</t>
  </si>
  <si>
    <t>Fuselage</t>
  </si>
  <si>
    <t>Points</t>
  </si>
  <si>
    <t>Important: Wings must be drawn first in order for fuselage outputs to be accurate.</t>
  </si>
  <si>
    <t>Wing Arrangement</t>
  </si>
  <si>
    <t>Distance</t>
  </si>
  <si>
    <t>Offset fuselage in x-direction</t>
  </si>
  <si>
    <t>General Outputs</t>
  </si>
  <si>
    <t>V-Tail Specific Outputs</t>
  </si>
  <si>
    <t>Monoplane</t>
  </si>
  <si>
    <t>Biplane</t>
  </si>
  <si>
    <t>Triplane</t>
  </si>
  <si>
    <t>Vertical Stabilizer or V-Tail</t>
  </si>
  <si>
    <t>Balancing Options</t>
  </si>
  <si>
    <t>Enter weight of each part of the airframe separately</t>
  </si>
  <si>
    <t>Enter a total weight and balance location</t>
  </si>
  <si>
    <t>Stabilizer Arrangement</t>
  </si>
  <si>
    <t>General Info</t>
  </si>
  <si>
    <t>Yellow cells require user input.</t>
  </si>
  <si>
    <t>Green cells display calculated outputs.</t>
  </si>
  <si>
    <t>Macros must be enabled for the spreadsheet to work properly.</t>
  </si>
  <si>
    <t>You may need to adjust macro security settings to enable macros.</t>
  </si>
  <si>
    <t xml:space="preserve">        It's not a proper "right-hand rule" system, but who cares. Deal with it.</t>
  </si>
  <si>
    <t>The coordinate system is shown above.  It's set up this way for formatting reasons.</t>
  </si>
  <si>
    <t>Results</t>
  </si>
  <si>
    <t>CG Location (x):</t>
  </si>
  <si>
    <t>CG Location (y):</t>
  </si>
  <si>
    <t>Wing Results</t>
  </si>
  <si>
    <t>Total Sections:</t>
  </si>
  <si>
    <t>Fore:</t>
  </si>
  <si>
    <t>Aft:</t>
  </si>
  <si>
    <t>Fuselage Area:</t>
  </si>
  <si>
    <t>Centroid in x-axis:</t>
  </si>
  <si>
    <t>Wing 1 Intersections</t>
  </si>
  <si>
    <t>Centroid in y-axis:</t>
  </si>
  <si>
    <t>Wing Intersect Area:</t>
  </si>
  <si>
    <r>
      <t>Fuse. dCm/dα (rad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):</t>
    </r>
  </si>
  <si>
    <t>Weights</t>
  </si>
  <si>
    <t>Enter 0 for the weight of any component your plane lacks.</t>
  </si>
  <si>
    <t>Balance points</t>
  </si>
  <si>
    <t>"Auto Balance" - if checked, the spreadsheet will use the centroid of the component as the balance point.</t>
  </si>
  <si>
    <t>The green boxes show the balance points that the spreadsheet will use to find the CG.</t>
  </si>
  <si>
    <t>Balance Points</t>
  </si>
  <si>
    <t>Component</t>
  </si>
  <si>
    <t>Weight</t>
  </si>
  <si>
    <t>Auto Balance</t>
  </si>
  <si>
    <t>x (input)</t>
  </si>
  <si>
    <t>y (input)</t>
  </si>
  <si>
    <t>x (output)</t>
  </si>
  <si>
    <t>y (output)</t>
  </si>
  <si>
    <t>Total "Empty" Weight:</t>
  </si>
  <si>
    <t>Balance pt:</t>
  </si>
  <si>
    <t>x-position:</t>
  </si>
  <si>
    <t>y-position:</t>
  </si>
  <si>
    <t>Point Masses</t>
  </si>
  <si>
    <t>Notes</t>
  </si>
  <si>
    <t>Use point masses for placing weights at different points on your model.</t>
  </si>
  <si>
    <t>Use point masses to test the effects of equipment placement and ballasts.</t>
  </si>
  <si>
    <t>Use as many or as few point masses as you want, and call them whatever you want.</t>
  </si>
  <si>
    <t>Give unneeded point masses a weight of 0.  These will not be used in the spreadsheet.</t>
  </si>
  <si>
    <t>Point masses with positive weight will be displayed on the Top View Chart.</t>
  </si>
  <si>
    <t>Index</t>
  </si>
  <si>
    <t>Name</t>
  </si>
  <si>
    <t>y-position</t>
  </si>
  <si>
    <t>Motor</t>
  </si>
  <si>
    <t>ESC</t>
  </si>
  <si>
    <t>Receiver</t>
  </si>
  <si>
    <t>Battery</t>
  </si>
  <si>
    <t>eLogger</t>
  </si>
  <si>
    <t>Servo Extensions</t>
  </si>
  <si>
    <t>Engine</t>
  </si>
  <si>
    <t>Cowl</t>
  </si>
  <si>
    <t>Totals</t>
  </si>
  <si>
    <t>Select the options that describe your plane's configuration.</t>
  </si>
  <si>
    <t>Configuration:</t>
  </si>
  <si>
    <t>Overall</t>
  </si>
  <si>
    <t>Planform Area:</t>
  </si>
  <si>
    <t>Wing Span:</t>
  </si>
  <si>
    <t>Span:</t>
  </si>
  <si>
    <t>MAC:</t>
  </si>
  <si>
    <t>Aero Center:</t>
  </si>
  <si>
    <t>Wing Center (z):</t>
  </si>
  <si>
    <t>Aspect Ratio:</t>
  </si>
  <si>
    <r>
      <t>Lift Slope (rad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):</t>
    </r>
  </si>
  <si>
    <t>Trailing Edge:</t>
  </si>
  <si>
    <t>0.25c Sweep (°):</t>
  </si>
  <si>
    <t>Neutral Point (x):</t>
  </si>
  <si>
    <r>
      <t>Total dCm/dα (rad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):</t>
    </r>
  </si>
  <si>
    <t>Horizontal Stabilizer Results</t>
  </si>
  <si>
    <t>dε/dα:</t>
  </si>
  <si>
    <r>
      <t>l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>:</t>
    </r>
  </si>
  <si>
    <r>
      <t>l</t>
    </r>
    <r>
      <rPr>
        <vertAlign val="subscript"/>
        <sz val="10"/>
        <rFont val="Arial"/>
        <family val="2"/>
      </rPr>
      <t>h1</t>
    </r>
    <r>
      <rPr>
        <sz val="10"/>
        <rFont val="Arial"/>
        <family val="0"/>
      </rPr>
      <t>:</t>
    </r>
  </si>
  <si>
    <r>
      <t>l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:</t>
    </r>
  </si>
  <si>
    <r>
      <t>K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:</t>
    </r>
  </si>
  <si>
    <r>
      <t>K</t>
    </r>
    <r>
      <rPr>
        <vertAlign val="subscript"/>
        <sz val="10"/>
        <rFont val="Arial"/>
        <family val="2"/>
      </rPr>
      <t>λ</t>
    </r>
    <r>
      <rPr>
        <sz val="10"/>
        <rFont val="Arial"/>
        <family val="0"/>
      </rPr>
      <t>:</t>
    </r>
  </si>
  <si>
    <r>
      <t>K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>:</t>
    </r>
  </si>
  <si>
    <r>
      <t>η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:</t>
    </r>
  </si>
  <si>
    <r>
      <t>V</t>
    </r>
    <r>
      <rPr>
        <vertAlign val="subscript"/>
        <sz val="10"/>
        <rFont val="Arial"/>
        <family val="2"/>
      </rPr>
      <t xml:space="preserve">h </t>
    </r>
    <r>
      <rPr>
        <sz val="10"/>
        <rFont val="Arial"/>
        <family val="0"/>
      </rPr>
      <t>(tail volume ratio):</t>
    </r>
  </si>
  <si>
    <t>V-Tail Results</t>
  </si>
  <si>
    <r>
      <t>V</t>
    </r>
    <r>
      <rPr>
        <vertAlign val="subscript"/>
        <sz val="10"/>
        <rFont val="Arial"/>
        <family val="2"/>
      </rPr>
      <t xml:space="preserve">v </t>
    </r>
    <r>
      <rPr>
        <sz val="10"/>
        <rFont val="Arial"/>
        <family val="0"/>
      </rPr>
      <t>(tail volume ratio):</t>
    </r>
  </si>
  <si>
    <t>Fuselage Information</t>
  </si>
  <si>
    <t>Overall Balancing Results</t>
  </si>
  <si>
    <t>Height (z):</t>
  </si>
  <si>
    <r>
      <t>l</t>
    </r>
    <r>
      <rPr>
        <vertAlign val="subscript"/>
        <sz val="10"/>
        <rFont val="Arial"/>
        <family val="2"/>
      </rPr>
      <t>h:</t>
    </r>
  </si>
  <si>
    <r>
      <t>l</t>
    </r>
    <r>
      <rPr>
        <vertAlign val="subscript"/>
        <sz val="10"/>
        <rFont val="Arial"/>
        <family val="2"/>
      </rPr>
      <t>h1:</t>
    </r>
  </si>
  <si>
    <r>
      <t>l</t>
    </r>
    <r>
      <rPr>
        <vertAlign val="subscript"/>
        <sz val="10"/>
        <rFont val="Arial"/>
        <family val="2"/>
      </rPr>
      <t>t:</t>
    </r>
  </si>
  <si>
    <r>
      <t>K</t>
    </r>
    <r>
      <rPr>
        <vertAlign val="subscript"/>
        <sz val="10"/>
        <rFont val="Arial"/>
        <family val="2"/>
      </rPr>
      <t>a:</t>
    </r>
  </si>
  <si>
    <r>
      <t>K</t>
    </r>
    <r>
      <rPr>
        <vertAlign val="subscript"/>
        <sz val="10"/>
        <rFont val="Arial"/>
        <family val="2"/>
      </rPr>
      <t>λ:</t>
    </r>
  </si>
  <si>
    <r>
      <t>K</t>
    </r>
    <r>
      <rPr>
        <vertAlign val="subscript"/>
        <sz val="10"/>
        <rFont val="Arial"/>
        <family val="2"/>
      </rPr>
      <t>h:</t>
    </r>
  </si>
  <si>
    <r>
      <t>η</t>
    </r>
    <r>
      <rPr>
        <vertAlign val="subscript"/>
        <sz val="10"/>
        <rFont val="Arial"/>
        <family val="2"/>
      </rPr>
      <t>t:</t>
    </r>
  </si>
  <si>
    <t>Length:</t>
  </si>
  <si>
    <t>Width:</t>
  </si>
  <si>
    <t>Area:</t>
  </si>
  <si>
    <t>Vertical Stabilizer Information</t>
  </si>
  <si>
    <r>
      <t>V</t>
    </r>
    <r>
      <rPr>
        <vertAlign val="subscript"/>
        <sz val="10"/>
        <rFont val="Arial"/>
        <family val="2"/>
      </rPr>
      <t>v:</t>
    </r>
  </si>
  <si>
    <t>Canard Information</t>
  </si>
  <si>
    <r>
      <t>V</t>
    </r>
    <r>
      <rPr>
        <vertAlign val="subscript"/>
        <sz val="10"/>
        <rFont val="Arial"/>
        <family val="2"/>
      </rPr>
      <t xml:space="preserve">h </t>
    </r>
    <r>
      <rPr>
        <sz val="10"/>
        <rFont val="Arial"/>
        <family val="0"/>
      </rPr>
      <t>(volume ratio):</t>
    </r>
  </si>
  <si>
    <r>
      <t>dCm/dα (rad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):</t>
    </r>
  </si>
  <si>
    <t>Mean MAC:</t>
  </si>
  <si>
    <t>Mean AR:</t>
  </si>
  <si>
    <t>Mean λ:</t>
  </si>
  <si>
    <t>Vert. Stabs/ V-Tail</t>
  </si>
  <si>
    <t>Equiv. Horiz. Area:</t>
  </si>
  <si>
    <t>Equiv. Vert. Area:</t>
  </si>
  <si>
    <t>Total Area:</t>
  </si>
  <si>
    <t># of Stabilizers:</t>
  </si>
  <si>
    <t>Static Margin:</t>
  </si>
  <si>
    <t>Wing Loading Calculation</t>
  </si>
  <si>
    <t>Weight:</t>
  </si>
  <si>
    <t>/</t>
  </si>
  <si>
    <t>Wing Loading (select desired units):</t>
  </si>
  <si>
    <t>cm</t>
  </si>
  <si>
    <t>m</t>
  </si>
  <si>
    <t>mm</t>
  </si>
  <si>
    <t>dm</t>
  </si>
  <si>
    <t>g</t>
  </si>
  <si>
    <t>kg</t>
  </si>
  <si>
    <t>in</t>
  </si>
  <si>
    <t>ft</t>
  </si>
  <si>
    <t>oz</t>
  </si>
  <si>
    <t>lb</t>
  </si>
  <si>
    <t>Spreadsheet units (select the units you used):</t>
  </si>
  <si>
    <t>in^2</t>
  </si>
  <si>
    <t>ft^2</t>
  </si>
  <si>
    <t>mm^2</t>
  </si>
  <si>
    <t>cm^2</t>
  </si>
  <si>
    <t>dm^2</t>
  </si>
  <si>
    <t>m^2</t>
  </si>
  <si>
    <t>Static Margin Adjustment</t>
  </si>
  <si>
    <t>Click the button to interactively adjust point masses to get a desired static margin</t>
  </si>
  <si>
    <t>Units are arbitrary.  Select working units for length and weight and</t>
  </si>
  <si>
    <t xml:space="preserve">   keep them consistent throughout the spreadsheet.  On the</t>
  </si>
  <si>
    <t xml:space="preserve">   Results page you will be asked to report your units for the wing</t>
  </si>
  <si>
    <t xml:space="preserve">   If not checked, enter the balance points yourself (Wing 1 root leading edge is the origin).</t>
  </si>
  <si>
    <t>Draw the top (positive y) side fuselage using up to 20 points.  The other side is automatically drawn as the mirror image.</t>
  </si>
  <si>
    <t>Draw from top to bottom: x-values should be decreasing from Point 1 to Point 20.  Press the calculations button when finished.</t>
  </si>
  <si>
    <t>Option 1 under 'Balancing' on the 'Getting Started' page is selected, so please use the box</t>
  </si>
  <si>
    <t xml:space="preserve">   above to enter the weights and balance points for each component of your plane.  The final</t>
  </si>
  <si>
    <t xml:space="preserve">   values will be displayed in the box below.  Note: you can change this option from the 'Getting</t>
  </si>
  <si>
    <t xml:space="preserve">   Started' page only.</t>
  </si>
  <si>
    <t>Prop &amp; Spinner</t>
  </si>
  <si>
    <t>Pilot</t>
  </si>
  <si>
    <t>Spinner</t>
  </si>
  <si>
    <r>
      <t>Bandu N. Pamadi</t>
    </r>
    <r>
      <rPr>
        <sz val="10"/>
        <rFont val="Arial"/>
        <family val="0"/>
      </rPr>
      <t xml:space="preserve">, </t>
    </r>
    <r>
      <rPr>
        <i/>
        <sz val="10"/>
        <rFont val="Arial"/>
        <family val="2"/>
      </rPr>
      <t>Performance, Stability, Dynamics and Control of</t>
    </r>
  </si>
  <si>
    <r>
      <t>Airplanes</t>
    </r>
    <r>
      <rPr>
        <sz val="10"/>
        <rFont val="Arial"/>
        <family val="0"/>
      </rPr>
      <t>.  See chapter 3 for a very detailed discussion on</t>
    </r>
  </si>
  <si>
    <t>longitudinal static stability of aircraft.  Available in Google Books.</t>
  </si>
  <si>
    <r>
      <t>John D. Anderson</t>
    </r>
    <r>
      <rPr>
        <sz val="10"/>
        <rFont val="Arial"/>
        <family val="0"/>
      </rPr>
      <t xml:space="preserve">, </t>
    </r>
    <r>
      <rPr>
        <i/>
        <sz val="10"/>
        <rFont val="Arial"/>
        <family val="2"/>
      </rPr>
      <t>Introduction to Flight</t>
    </r>
    <r>
      <rPr>
        <sz val="10"/>
        <rFont val="Arial"/>
        <family val="0"/>
      </rPr>
      <t>.  Chapter 7 has a good, basic</t>
    </r>
  </si>
  <si>
    <t>overview of aircraft stability.</t>
  </si>
  <si>
    <r>
      <t>Ilan Kroo</t>
    </r>
    <r>
      <rPr>
        <sz val="10"/>
        <rFont val="Arial"/>
        <family val="0"/>
      </rPr>
      <t xml:space="preserve">, </t>
    </r>
    <r>
      <rPr>
        <i/>
        <sz val="10"/>
        <rFont val="Arial"/>
        <family val="2"/>
      </rPr>
      <t>Aircraft Design: Synthesis and Analysis</t>
    </r>
    <r>
      <rPr>
        <sz val="10"/>
        <rFont val="Arial"/>
        <family val="0"/>
      </rPr>
      <t>.  See the notes on</t>
    </r>
  </si>
  <si>
    <t>Static Longitudinal Stability for the empirical relation for fuselage</t>
  </si>
  <si>
    <t>pitching moment slope.</t>
  </si>
  <si>
    <r>
      <t>Dr. Mark Drela</t>
    </r>
    <r>
      <rPr>
        <sz val="10"/>
        <rFont val="Arial"/>
        <family val="0"/>
      </rPr>
      <t>, for help with V-Tail sizing (through RCGroups forums).</t>
    </r>
  </si>
  <si>
    <t>References</t>
  </si>
  <si>
    <t xml:space="preserve">     following references or were developed by me.</t>
  </si>
  <si>
    <t>All equations and algorithms in this spreadsheet came from one of the</t>
  </si>
  <si>
    <t>About Me</t>
  </si>
  <si>
    <t>I am an engineering student at the Rochester Institute of Technology</t>
  </si>
  <si>
    <t xml:space="preserve">     currently working on a Masters Degree in Micro Air Vehicle design.</t>
  </si>
  <si>
    <t xml:space="preserve">     You can contact me at dpross1100@msn.com for questions, comments,</t>
  </si>
  <si>
    <t xml:space="preserve">     or suggestions about this spreadsheet.</t>
  </si>
  <si>
    <t>Miscellaneous</t>
  </si>
  <si>
    <t>Ignore fuselage contribution</t>
  </si>
  <si>
    <t>Note: if you check this and then uncheck it again,</t>
  </si>
  <si>
    <t xml:space="preserve">     you must re-run fuselage calculations.</t>
  </si>
  <si>
    <t>AVL Export</t>
  </si>
  <si>
    <t>Export geometry &amp; reference values for AVL or Cloud Cap Technologies AVL Editor</t>
  </si>
  <si>
    <t xml:space="preserve">   loading calculation and for AVL export.</t>
  </si>
  <si>
    <t>Rudder servo</t>
  </si>
  <si>
    <t>Elevator servo</t>
  </si>
  <si>
    <t>Flap servo</t>
  </si>
  <si>
    <t>Aileron servo L</t>
  </si>
  <si>
    <t>Aileron servo R</t>
  </si>
  <si>
    <t>CG adjustment weight</t>
  </si>
  <si>
    <t>Nose Weight</t>
  </si>
  <si>
    <t>All-Up Weight (oz.):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</si>
</sst>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</numFmts>
  <fonts count="59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8"/>
      <name val="Tahoma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u val="single"/>
      <sz val="11"/>
      <color indexed="12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b/>
      <sz val="8"/>
      <name val="Tahoma"/>
      <family val="0"/>
    </font>
    <font>
      <sz val="14"/>
      <name val="Arial"/>
      <family val="2"/>
    </font>
    <font>
      <i/>
      <sz val="10"/>
      <name val="Arial"/>
      <family val="2"/>
    </font>
    <font>
      <sz val="10.5"/>
      <color indexed="8"/>
      <name val="Arial"/>
      <family val="2"/>
    </font>
    <font>
      <sz val="2.25"/>
      <color indexed="8"/>
      <name val="Arial"/>
      <family val="2"/>
    </font>
    <font>
      <sz val="9.25"/>
      <color indexed="8"/>
      <name val="Arial"/>
      <family val="2"/>
    </font>
    <font>
      <sz val="8.25"/>
      <color indexed="8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9.2"/>
      <color indexed="8"/>
      <name val="Arial"/>
      <family val="2"/>
    </font>
    <font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0" xfId="0" applyAlignment="1" quotePrefix="1">
      <alignment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/>
    </xf>
    <xf numFmtId="0" fontId="0" fillId="34" borderId="10" xfId="0" applyFill="1" applyBorder="1" applyAlignment="1" applyProtection="1" quotePrefix="1">
      <alignment/>
      <protection/>
    </xf>
    <xf numFmtId="10" fontId="0" fillId="34" borderId="10" xfId="0" applyNumberFormat="1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right"/>
      <protection/>
    </xf>
    <xf numFmtId="0" fontId="0" fillId="34" borderId="12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0" fillId="0" borderId="23" xfId="0" applyBorder="1" applyAlignment="1" applyProtection="1">
      <alignment/>
      <protection locked="0"/>
    </xf>
    <xf numFmtId="0" fontId="0" fillId="0" borderId="16" xfId="0" applyNumberFormat="1" applyFont="1" applyBorder="1" applyAlignment="1" applyProtection="1">
      <alignment/>
      <protection locked="0"/>
    </xf>
    <xf numFmtId="0" fontId="0" fillId="0" borderId="20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22" xfId="0" applyNumberFormat="1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0" fillId="34" borderId="12" xfId="0" applyFont="1" applyFill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0" fillId="34" borderId="16" xfId="0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34" borderId="22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12" xfId="0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35" borderId="13" xfId="0" applyFill="1" applyBorder="1" applyAlignment="1" applyProtection="1">
      <alignment horizontal="center"/>
      <protection locked="0"/>
    </xf>
    <xf numFmtId="0" fontId="0" fillId="36" borderId="12" xfId="0" applyFill="1" applyBorder="1" applyAlignment="1" applyProtection="1">
      <alignment/>
      <protection locked="0"/>
    </xf>
    <xf numFmtId="0" fontId="0" fillId="36" borderId="22" xfId="0" applyFill="1" applyBorder="1" applyAlignment="1" applyProtection="1">
      <alignment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2" fillId="34" borderId="23" xfId="0" applyFont="1" applyFill="1" applyBorder="1" applyAlignment="1" applyProtection="1">
      <alignment horizontal="right" vertical="center"/>
      <protection locked="0"/>
    </xf>
    <xf numFmtId="0" fontId="12" fillId="34" borderId="17" xfId="0" applyFont="1" applyFill="1" applyBorder="1" applyAlignment="1" applyProtection="1">
      <alignment horizontal="right" vertical="center"/>
      <protection locked="0"/>
    </xf>
    <xf numFmtId="0" fontId="0" fillId="34" borderId="15" xfId="0" applyNumberFormat="1" applyFill="1" applyBorder="1" applyAlignment="1" applyProtection="1">
      <alignment horizontal="center" vertical="center"/>
      <protection locked="0"/>
    </xf>
    <xf numFmtId="0" fontId="0" fillId="34" borderId="23" xfId="0" applyNumberFormat="1" applyFill="1" applyBorder="1" applyAlignment="1" applyProtection="1">
      <alignment horizontal="center" vertical="center"/>
      <protection locked="0"/>
    </xf>
    <xf numFmtId="0" fontId="0" fillId="34" borderId="21" xfId="0" applyNumberFormat="1" applyFill="1" applyBorder="1" applyAlignment="1" applyProtection="1">
      <alignment horizontal="center" vertical="center"/>
      <protection locked="0"/>
    </xf>
    <xf numFmtId="0" fontId="0" fillId="34" borderId="17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23" xfId="0" applyFont="1" applyBorder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20" xfId="0" applyFont="1" applyBorder="1" applyAlignment="1" applyProtection="1">
      <alignment horizontal="center" wrapText="1"/>
      <protection locked="0"/>
    </xf>
    <xf numFmtId="0" fontId="0" fillId="0" borderId="21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22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vertical="top" wrapText="1"/>
      <protection locked="0"/>
    </xf>
    <xf numFmtId="0" fontId="0" fillId="0" borderId="16" xfId="0" applyBorder="1" applyAlignment="1" applyProtection="1">
      <alignment horizontal="center" vertical="top" wrapText="1"/>
      <protection locked="0"/>
    </xf>
    <xf numFmtId="0" fontId="0" fillId="0" borderId="19" xfId="0" applyBorder="1" applyAlignment="1" applyProtection="1">
      <alignment horizontal="center" vertical="top" wrapText="1"/>
      <protection locked="0"/>
    </xf>
    <xf numFmtId="0" fontId="0" fillId="0" borderId="20" xfId="0" applyBorder="1" applyAlignment="1" applyProtection="1">
      <alignment horizontal="center" vertical="top" wrapText="1"/>
      <protection locked="0"/>
    </xf>
    <xf numFmtId="0" fontId="0" fillId="0" borderId="21" xfId="0" applyBorder="1" applyAlignment="1" applyProtection="1">
      <alignment horizontal="center" vertical="top" wrapText="1"/>
      <protection locked="0"/>
    </xf>
    <xf numFmtId="0" fontId="0" fillId="0" borderId="22" xfId="0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28"/>
          <c:w val="0.924"/>
          <c:h val="0.859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Wings!$R$19:$AN$19</c:f>
              <c:numCache/>
            </c:numRef>
          </c:xVal>
          <c:yVal>
            <c:numRef>
              <c:f>Wings!$R$18:$AN$18</c:f>
              <c:numCache/>
            </c:numRef>
          </c:yVal>
          <c:smooth val="0"/>
        </c:ser>
        <c:ser>
          <c:idx val="1"/>
          <c:order val="1"/>
          <c:tx>
            <c:v>Panel1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(Wings!$S$5,Wings!$V$5)</c:f>
              <c:numCache/>
            </c:numRef>
          </c:xVal>
          <c:yVal>
            <c:numRef>
              <c:f>(Wings!$R$5,Wings!$U$5)</c:f>
              <c:numCache/>
            </c:numRef>
          </c:yVal>
          <c:smooth val="0"/>
        </c:ser>
        <c:ser>
          <c:idx val="2"/>
          <c:order val="2"/>
          <c:tx>
            <c:v>Panel2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(Wings!$S$6,Wings!$V$6)</c:f>
              <c:numCache/>
            </c:numRef>
          </c:xVal>
          <c:yVal>
            <c:numRef>
              <c:f>(Wings!$R$6,Wings!$U$6)</c:f>
              <c:numCache/>
            </c:numRef>
          </c:yVal>
          <c:smooth val="0"/>
        </c:ser>
        <c:ser>
          <c:idx val="3"/>
          <c:order val="3"/>
          <c:tx>
            <c:v>Panel3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(Wings!$S$7,Wings!$V$7)</c:f>
              <c:numCache/>
            </c:numRef>
          </c:xVal>
          <c:yVal>
            <c:numRef>
              <c:f>(Wings!$R$7,Wings!$U$7)</c:f>
              <c:numCache/>
            </c:numRef>
          </c:yVal>
          <c:smooth val="0"/>
        </c:ser>
        <c:ser>
          <c:idx val="4"/>
          <c:order val="4"/>
          <c:tx>
            <c:v>Panel4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(Wings!$S$8,Wings!$V$8)</c:f>
              <c:numCache/>
            </c:numRef>
          </c:xVal>
          <c:yVal>
            <c:numRef>
              <c:f>(Wings!$R$8,Wings!$U$8)</c:f>
              <c:numCache/>
            </c:numRef>
          </c:yVal>
          <c:smooth val="0"/>
        </c:ser>
        <c:ser>
          <c:idx val="5"/>
          <c:order val="5"/>
          <c:tx>
            <c:v>Panel5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(Wings!$S$9,Wings!$V$9)</c:f>
              <c:numCache/>
            </c:numRef>
          </c:xVal>
          <c:yVal>
            <c:numRef>
              <c:f>(Wings!$R$9,Wings!$U$9)</c:f>
              <c:numCache/>
            </c:numRef>
          </c:yVal>
          <c:smooth val="0"/>
        </c:ser>
        <c:ser>
          <c:idx val="6"/>
          <c:order val="6"/>
          <c:tx>
            <c:v>Panel6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(Wings!$S$10,Wings!$V$10)</c:f>
              <c:numCache/>
            </c:numRef>
          </c:xVal>
          <c:yVal>
            <c:numRef>
              <c:f>(Wings!$R$10,Wings!$U$10)</c:f>
              <c:numCache/>
            </c:numRef>
          </c:yVal>
          <c:smooth val="0"/>
        </c:ser>
        <c:ser>
          <c:idx val="7"/>
          <c:order val="7"/>
          <c:tx>
            <c:v>Panel7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(Wings!$S$11,Wings!$V$11)</c:f>
              <c:numCache/>
            </c:numRef>
          </c:xVal>
          <c:yVal>
            <c:numRef>
              <c:f>(Wings!$R$11,Wings!$U$11)</c:f>
              <c:numCache/>
            </c:numRef>
          </c:yVal>
          <c:smooth val="0"/>
        </c:ser>
        <c:ser>
          <c:idx val="8"/>
          <c:order val="8"/>
          <c:tx>
            <c:v>Panel8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(Wings!$S$12,Wings!$V$12)</c:f>
              <c:numCache/>
            </c:numRef>
          </c:xVal>
          <c:yVal>
            <c:numRef>
              <c:f>(Wings!$R$12,Wings!$U$12)</c:f>
              <c:numCache/>
            </c:numRef>
          </c:yVal>
          <c:smooth val="0"/>
        </c:ser>
        <c:ser>
          <c:idx val="9"/>
          <c:order val="9"/>
          <c:tx>
            <c:v>Panel9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(Wings!$S$13,Wings!$V$13)</c:f>
              <c:numCache/>
            </c:numRef>
          </c:xVal>
          <c:yVal>
            <c:numRef>
              <c:f>(Wings!$R$13,Wings!$U$13)</c:f>
              <c:numCache/>
            </c:numRef>
          </c:yVal>
          <c:smooth val="0"/>
        </c:ser>
        <c:ser>
          <c:idx val="10"/>
          <c:order val="10"/>
          <c:tx>
            <c:v>MAC</c:v>
          </c:tx>
          <c:spPr>
            <a:ln w="12700">
              <a:solidFill>
                <a:srgbClr val="DD080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DD0806"/>
                </a:solidFill>
                <a:prstDash val="dash"/>
              </a:ln>
            </c:spPr>
            <c:marker>
              <c:symbol val="circle"/>
              <c:size val="8"/>
              <c:spPr>
                <a:solidFill>
                  <a:srgbClr val="DD0806"/>
                </a:solidFill>
                <a:ln>
                  <a:solidFill>
                    <a:srgbClr val="000090"/>
                  </a:solidFill>
                </a:ln>
              </c:spPr>
            </c:marker>
          </c:dPt>
          <c:xVal>
            <c:numRef>
              <c:f>Wings!$Y$4:$Y$6</c:f>
              <c:numCache/>
            </c:numRef>
          </c:xVal>
          <c:yVal>
            <c:numRef>
              <c:f>Wings!$Z$4:$Z$6</c:f>
              <c:numCache/>
            </c:numRef>
          </c:yVal>
          <c:smooth val="0"/>
        </c:ser>
        <c:axId val="6660684"/>
        <c:axId val="31295325"/>
      </c:scatterChart>
      <c:valAx>
        <c:axId val="6660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95325"/>
        <c:crosses val="autoZero"/>
        <c:crossBetween val="midCat"/>
        <c:dispUnits/>
      </c:valAx>
      <c:valAx>
        <c:axId val="31295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      Front of plane -------&gt;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06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Wings!$R$45:$AN$45</c:f>
            </c:numRef>
          </c:xVal>
          <c:yVal>
            <c:numRef>
              <c:f>Wings!$R$44:$AN$44</c:f>
            </c:numRef>
          </c:yVal>
          <c:smooth val="0"/>
        </c:ser>
        <c:ser>
          <c:idx val="1"/>
          <c:order val="1"/>
          <c:tx>
            <c:v>Panel1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(Wings!$S$31,Wings!$V$31)</c:f>
            </c:numRef>
          </c:xVal>
          <c:yVal>
            <c:numRef>
              <c:f>(Wings!$R$31,Wings!$U$31)</c:f>
            </c:numRef>
          </c:yVal>
          <c:smooth val="0"/>
        </c:ser>
        <c:ser>
          <c:idx val="2"/>
          <c:order val="2"/>
          <c:tx>
            <c:v>Panel2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xVal>
            <c:numRef>
              <c:f>(Wings!$S$32,Wings!$V$32)</c:f>
            </c:numRef>
          </c:xVal>
          <c:yVal>
            <c:numRef>
              <c:f>(Wings!$R$32,Wings!$U$32)</c:f>
            </c:numRef>
          </c:yVal>
          <c:smooth val="0"/>
        </c:ser>
        <c:ser>
          <c:idx val="3"/>
          <c:order val="3"/>
          <c:tx>
            <c:v>Panel3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(Wings!$S$33,Wings!$V$33)</c:f>
            </c:numRef>
          </c:xVal>
          <c:yVal>
            <c:numRef>
              <c:f>(Wings!$R$33,Wings!$U$33)</c:f>
            </c:numRef>
          </c:yVal>
          <c:smooth val="0"/>
        </c:ser>
        <c:ser>
          <c:idx val="4"/>
          <c:order val="4"/>
          <c:tx>
            <c:v>Panel4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(Wings!$S$34,Wings!$V$34)</c:f>
            </c:numRef>
          </c:xVal>
          <c:yVal>
            <c:numRef>
              <c:f>(Wings!$R$34,Wings!$U$34)</c:f>
            </c:numRef>
          </c:yVal>
          <c:smooth val="0"/>
        </c:ser>
        <c:ser>
          <c:idx val="5"/>
          <c:order val="5"/>
          <c:tx>
            <c:v>Panel5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(Wings!$S$35,Wings!$V$35)</c:f>
            </c:numRef>
          </c:xVal>
          <c:yVal>
            <c:numRef>
              <c:f>(Wings!$R$35,Wings!$U$35)</c:f>
            </c:numRef>
          </c:yVal>
          <c:smooth val="0"/>
        </c:ser>
        <c:ser>
          <c:idx val="6"/>
          <c:order val="6"/>
          <c:tx>
            <c:v>Panel6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(Wings!$S$36,Wings!$V$36)</c:f>
            </c:numRef>
          </c:xVal>
          <c:yVal>
            <c:numRef>
              <c:f>(Wings!$R$36,Wings!$U$36)</c:f>
            </c:numRef>
          </c:yVal>
          <c:smooth val="0"/>
        </c:ser>
        <c:ser>
          <c:idx val="7"/>
          <c:order val="7"/>
          <c:tx>
            <c:v>Panel7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(Wings!$S$37,Wings!$V$37)</c:f>
            </c:numRef>
          </c:xVal>
          <c:yVal>
            <c:numRef>
              <c:f>(Wings!$R$37,Wings!$U$37)</c:f>
            </c:numRef>
          </c:yVal>
          <c:smooth val="0"/>
        </c:ser>
        <c:ser>
          <c:idx val="8"/>
          <c:order val="8"/>
          <c:tx>
            <c:v>Panel8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CCCFF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(Wings!$S$38,Wings!$V$38)</c:f>
            </c:numRef>
          </c:xVal>
          <c:yVal>
            <c:numRef>
              <c:f>(Wings!$R$38,Wings!$U$38)</c:f>
            </c:numRef>
          </c:yVal>
          <c:smooth val="0"/>
        </c:ser>
        <c:ser>
          <c:idx val="9"/>
          <c:order val="9"/>
          <c:tx>
            <c:v>Panel9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(Wings!$S$39,Wings!$V$39)</c:f>
            </c:numRef>
          </c:xVal>
          <c:yVal>
            <c:numRef>
              <c:f>(Wings!$R$39,Wings!$U$39)</c:f>
            </c:numRef>
          </c:yVal>
          <c:smooth val="0"/>
        </c:ser>
        <c:ser>
          <c:idx val="10"/>
          <c:order val="10"/>
          <c:tx>
            <c:v>MAC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Wings!$Y$30:$Y$32</c:f>
            </c:numRef>
          </c:xVal>
          <c:yVal>
            <c:numRef>
              <c:f>Wings!$Z$30:$Z$32</c:f>
            </c:numRef>
          </c:yVal>
          <c:smooth val="0"/>
        </c:ser>
        <c:axId val="66112346"/>
        <c:axId val="22265555"/>
      </c:scatterChart>
      <c:valAx>
        <c:axId val="66112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65555"/>
        <c:crosses val="autoZero"/>
        <c:crossBetween val="midCat"/>
        <c:dispUnits/>
      </c:valAx>
      <c:valAx>
        <c:axId val="22265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1234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Wings!$R$71:$AN$71</c:f>
            </c:numRef>
          </c:xVal>
          <c:yVal>
            <c:numRef>
              <c:f>Wings!$R$70:$AN$70</c:f>
            </c:numRef>
          </c:yVal>
          <c:smooth val="0"/>
        </c:ser>
        <c:ser>
          <c:idx val="1"/>
          <c:order val="1"/>
          <c:tx>
            <c:v>Panel1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(Wings!$S$57,Wings!$V$57)</c:f>
            </c:numRef>
          </c:xVal>
          <c:yVal>
            <c:numRef>
              <c:f>(Wings!$R$57,Wings!$U$57)</c:f>
            </c:numRef>
          </c:yVal>
          <c:smooth val="0"/>
        </c:ser>
        <c:ser>
          <c:idx val="2"/>
          <c:order val="2"/>
          <c:tx>
            <c:v>Panel2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xVal>
            <c:numRef>
              <c:f>(Wings!$S$58,Wings!$V$58)</c:f>
            </c:numRef>
          </c:xVal>
          <c:yVal>
            <c:numRef>
              <c:f>(Wings!$R$58,Wings!$U$58)</c:f>
            </c:numRef>
          </c:yVal>
          <c:smooth val="0"/>
        </c:ser>
        <c:ser>
          <c:idx val="3"/>
          <c:order val="3"/>
          <c:tx>
            <c:v>Panel3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(Wings!$S$59,Wings!$V$59)</c:f>
            </c:numRef>
          </c:xVal>
          <c:yVal>
            <c:numRef>
              <c:f>(Wings!$R$59,Wings!$U$59)</c:f>
            </c:numRef>
          </c:yVal>
          <c:smooth val="0"/>
        </c:ser>
        <c:ser>
          <c:idx val="4"/>
          <c:order val="4"/>
          <c:tx>
            <c:v>Panel4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(Wings!$S$60,Wings!$V$60)</c:f>
            </c:numRef>
          </c:xVal>
          <c:yVal>
            <c:numRef>
              <c:f>(Wings!$R$60,Wings!$U$60)</c:f>
            </c:numRef>
          </c:yVal>
          <c:smooth val="0"/>
        </c:ser>
        <c:ser>
          <c:idx val="5"/>
          <c:order val="5"/>
          <c:tx>
            <c:v>Panel5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(Wings!$S$61,Wings!$V$61)</c:f>
            </c:numRef>
          </c:xVal>
          <c:yVal>
            <c:numRef>
              <c:f>(Wings!$R$61,Wings!$U$61)</c:f>
            </c:numRef>
          </c:yVal>
          <c:smooth val="0"/>
        </c:ser>
        <c:ser>
          <c:idx val="6"/>
          <c:order val="6"/>
          <c:tx>
            <c:v>Panel6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(Wings!$S$62,Wings!$V$62)</c:f>
            </c:numRef>
          </c:xVal>
          <c:yVal>
            <c:numRef>
              <c:f>(Wings!$R$62,Wings!$U$62)</c:f>
            </c:numRef>
          </c:yVal>
          <c:smooth val="0"/>
        </c:ser>
        <c:ser>
          <c:idx val="7"/>
          <c:order val="7"/>
          <c:tx>
            <c:v>Panel7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(Wings!$S$63,Wings!$V$63)</c:f>
            </c:numRef>
          </c:xVal>
          <c:yVal>
            <c:numRef>
              <c:f>(Wings!$R$63,Wings!$U$63)</c:f>
            </c:numRef>
          </c:yVal>
          <c:smooth val="0"/>
        </c:ser>
        <c:ser>
          <c:idx val="8"/>
          <c:order val="8"/>
          <c:tx>
            <c:v>Panel8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CCCFF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(Wings!$S$64,Wings!$V$64)</c:f>
            </c:numRef>
          </c:xVal>
          <c:yVal>
            <c:numRef>
              <c:f>(Wings!$R$64,Wings!$U$64)</c:f>
            </c:numRef>
          </c:yVal>
          <c:smooth val="0"/>
        </c:ser>
        <c:ser>
          <c:idx val="9"/>
          <c:order val="9"/>
          <c:tx>
            <c:v>Panel9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(Wings!$S$65,Wings!$V$65)</c:f>
            </c:numRef>
          </c:xVal>
          <c:yVal>
            <c:numRef>
              <c:f>(Wings!$R$65,Wings!$U$65)</c:f>
            </c:numRef>
          </c:yVal>
          <c:smooth val="0"/>
        </c:ser>
        <c:ser>
          <c:idx val="10"/>
          <c:order val="10"/>
          <c:tx>
            <c:v>MAC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Wings!$Y$56:$Y$58</c:f>
            </c:numRef>
          </c:xVal>
          <c:yVal>
            <c:numRef>
              <c:f>Wings!$Z$56:$Z$58</c:f>
            </c:numRef>
          </c:yVal>
          <c:smooth val="0"/>
        </c:ser>
        <c:axId val="62425880"/>
        <c:axId val="57701177"/>
      </c:scatterChart>
      <c:valAx>
        <c:axId val="6242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01177"/>
        <c:crosses val="autoZero"/>
        <c:crossBetween val="midCat"/>
        <c:dispUnits/>
      </c:valAx>
      <c:valAx>
        <c:axId val="577011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2588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28"/>
          <c:w val="0.9355"/>
          <c:h val="0.859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'H. Stab &amp; Canard'!$R$19:$AN$19</c:f>
              <c:numCache/>
            </c:numRef>
          </c:xVal>
          <c:yVal>
            <c:numRef>
              <c:f>'H. Stab &amp; Canard'!$R$18:$AN$18</c:f>
              <c:numCache/>
            </c:numRef>
          </c:yVal>
          <c:smooth val="0"/>
        </c:ser>
        <c:ser>
          <c:idx val="1"/>
          <c:order val="1"/>
          <c:tx>
            <c:v>Panel1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('H. Stab &amp; Canard'!$S$5,'H. Stab &amp; Canard'!$V$5)</c:f>
              <c:numCache/>
            </c:numRef>
          </c:xVal>
          <c:yVal>
            <c:numRef>
              <c:f>('H. Stab &amp; Canard'!$R$5,'H. Stab &amp; Canard'!$U$5)</c:f>
              <c:numCache/>
            </c:numRef>
          </c:yVal>
          <c:smooth val="0"/>
        </c:ser>
        <c:ser>
          <c:idx val="2"/>
          <c:order val="2"/>
          <c:tx>
            <c:v>Panel2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('H. Stab &amp; Canard'!$S$6,'H. Stab &amp; Canard'!$V$6)</c:f>
              <c:numCache/>
            </c:numRef>
          </c:xVal>
          <c:yVal>
            <c:numRef>
              <c:f>('H. Stab &amp; Canard'!$R$6,'H. Stab &amp; Canard'!$U$6)</c:f>
              <c:numCache/>
            </c:numRef>
          </c:yVal>
          <c:smooth val="0"/>
        </c:ser>
        <c:ser>
          <c:idx val="3"/>
          <c:order val="3"/>
          <c:tx>
            <c:v>Panel3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('H. Stab &amp; Canard'!$S$7,'H. Stab &amp; Canard'!$V$7)</c:f>
              <c:numCache/>
            </c:numRef>
          </c:xVal>
          <c:yVal>
            <c:numRef>
              <c:f>('H. Stab &amp; Canard'!$R$7,'H. Stab &amp; Canard'!$U$7)</c:f>
              <c:numCache/>
            </c:numRef>
          </c:yVal>
          <c:smooth val="0"/>
        </c:ser>
        <c:ser>
          <c:idx val="4"/>
          <c:order val="4"/>
          <c:tx>
            <c:v>Panel4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('H. Stab &amp; Canard'!$S$8,'H. Stab &amp; Canard'!$V$8)</c:f>
              <c:numCache/>
            </c:numRef>
          </c:xVal>
          <c:yVal>
            <c:numRef>
              <c:f>('H. Stab &amp; Canard'!$R$8,'H. Stab &amp; Canard'!$U$8)</c:f>
              <c:numCache/>
            </c:numRef>
          </c:yVal>
          <c:smooth val="0"/>
        </c:ser>
        <c:ser>
          <c:idx val="5"/>
          <c:order val="5"/>
          <c:tx>
            <c:v>Panel5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('H. Stab &amp; Canard'!$S$9,'H. Stab &amp; Canard'!$V$9)</c:f>
              <c:numCache/>
            </c:numRef>
          </c:xVal>
          <c:yVal>
            <c:numRef>
              <c:f>('H. Stab &amp; Canard'!$R$9,'H. Stab &amp; Canard'!$U$9)</c:f>
              <c:numCache/>
            </c:numRef>
          </c:yVal>
          <c:smooth val="0"/>
        </c:ser>
        <c:ser>
          <c:idx val="6"/>
          <c:order val="6"/>
          <c:tx>
            <c:v>Panel6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('H. Stab &amp; Canard'!$S$10,'H. Stab &amp; Canard'!$V$10)</c:f>
              <c:numCache/>
            </c:numRef>
          </c:xVal>
          <c:yVal>
            <c:numRef>
              <c:f>('H. Stab &amp; Canard'!$R$10,'H. Stab &amp; Canard'!$U$10)</c:f>
              <c:numCache/>
            </c:numRef>
          </c:yVal>
          <c:smooth val="0"/>
        </c:ser>
        <c:ser>
          <c:idx val="7"/>
          <c:order val="7"/>
          <c:tx>
            <c:v>Panel7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('H. Stab &amp; Canard'!$S$11,'H. Stab &amp; Canard'!$V$11)</c:f>
              <c:numCache/>
            </c:numRef>
          </c:xVal>
          <c:yVal>
            <c:numRef>
              <c:f>('H. Stab &amp; Canard'!$R$11,'H. Stab &amp; Canard'!$U$11)</c:f>
              <c:numCache/>
            </c:numRef>
          </c:yVal>
          <c:smooth val="0"/>
        </c:ser>
        <c:ser>
          <c:idx val="8"/>
          <c:order val="8"/>
          <c:tx>
            <c:v>Panel8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('H. Stab &amp; Canard'!$S$12,'H. Stab &amp; Canard'!$V$12)</c:f>
              <c:numCache/>
            </c:numRef>
          </c:xVal>
          <c:yVal>
            <c:numRef>
              <c:f>('H. Stab &amp; Canard'!$R$12,'H. Stab &amp; Canard'!$U$12)</c:f>
              <c:numCache/>
            </c:numRef>
          </c:yVal>
          <c:smooth val="0"/>
        </c:ser>
        <c:ser>
          <c:idx val="9"/>
          <c:order val="9"/>
          <c:tx>
            <c:v>Panel9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('H. Stab &amp; Canard'!$S$13,'H. Stab &amp; Canard'!$V$13)</c:f>
              <c:numCache/>
            </c:numRef>
          </c:xVal>
          <c:yVal>
            <c:numRef>
              <c:f>('H. Stab &amp; Canard'!$R$13,'H. Stab &amp; Canard'!$U$13)</c:f>
              <c:numCache/>
            </c:numRef>
          </c:yVal>
          <c:smooth val="0"/>
        </c:ser>
        <c:ser>
          <c:idx val="10"/>
          <c:order val="10"/>
          <c:tx>
            <c:v>MAC</c:v>
          </c:tx>
          <c:spPr>
            <a:ln w="12700">
              <a:solidFill>
                <a:srgbClr val="DD080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DD0806"/>
                </a:solidFill>
                <a:prstDash val="dash"/>
              </a:ln>
            </c:spPr>
            <c:marker>
              <c:symbol val="circle"/>
              <c:size val="8"/>
              <c:spPr>
                <a:solidFill>
                  <a:srgbClr val="DD0806"/>
                </a:solidFill>
                <a:ln>
                  <a:solidFill>
                    <a:srgbClr val="000090"/>
                  </a:solidFill>
                </a:ln>
              </c:spPr>
            </c:marker>
          </c:dPt>
          <c:xVal>
            <c:numRef>
              <c:f>'H. Stab &amp; Canard'!$Y$4:$Y$6</c:f>
              <c:numCache/>
            </c:numRef>
          </c:xVal>
          <c:yVal>
            <c:numRef>
              <c:f>'H. Stab &amp; Canard'!$Z$4:$Z$6</c:f>
              <c:numCache/>
            </c:numRef>
          </c:yVal>
          <c:smooth val="0"/>
        </c:ser>
        <c:axId val="46416134"/>
        <c:axId val="8351247"/>
      </c:scatterChart>
      <c:valAx>
        <c:axId val="46416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51247"/>
        <c:crosses val="autoZero"/>
        <c:crossBetween val="midCat"/>
        <c:dispUnits/>
      </c:valAx>
      <c:valAx>
        <c:axId val="8351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      Front of plane -------&gt;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161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'H. Stab &amp; Canard'!$R$45:$AN$45</c:f>
            </c:numRef>
          </c:xVal>
          <c:yVal>
            <c:numRef>
              <c:f>'H. Stab &amp; Canard'!$R$44:$AN$44</c:f>
            </c:numRef>
          </c:yVal>
          <c:smooth val="0"/>
        </c:ser>
        <c:ser>
          <c:idx val="1"/>
          <c:order val="1"/>
          <c:tx>
            <c:v>Panel1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('H. Stab &amp; Canard'!$S$31,'H. Stab &amp; Canard'!$V$31)</c:f>
            </c:numRef>
          </c:xVal>
          <c:yVal>
            <c:numRef>
              <c:f>('H. Stab &amp; Canard'!$R$31,'H. Stab &amp; Canard'!$U$31)</c:f>
            </c:numRef>
          </c:yVal>
          <c:smooth val="0"/>
        </c:ser>
        <c:ser>
          <c:idx val="2"/>
          <c:order val="2"/>
          <c:tx>
            <c:v>Panel2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xVal>
            <c:numRef>
              <c:f>('H. Stab &amp; Canard'!$S$32,'H. Stab &amp; Canard'!$V$32)</c:f>
            </c:numRef>
          </c:xVal>
          <c:yVal>
            <c:numRef>
              <c:f>('H. Stab &amp; Canard'!$R$32,'H. Stab &amp; Canard'!$U$32)</c:f>
            </c:numRef>
          </c:yVal>
          <c:smooth val="0"/>
        </c:ser>
        <c:ser>
          <c:idx val="3"/>
          <c:order val="3"/>
          <c:tx>
            <c:v>Panel3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('H. Stab &amp; Canard'!$S$33,'H. Stab &amp; Canard'!$V$33)</c:f>
            </c:numRef>
          </c:xVal>
          <c:yVal>
            <c:numRef>
              <c:f>('H. Stab &amp; Canard'!$R$33,'H. Stab &amp; Canard'!$U$33)</c:f>
            </c:numRef>
          </c:yVal>
          <c:smooth val="0"/>
        </c:ser>
        <c:ser>
          <c:idx val="4"/>
          <c:order val="4"/>
          <c:tx>
            <c:v>Panel4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('H. Stab &amp; Canard'!$S$34,'H. Stab &amp; Canard'!$V$34)</c:f>
            </c:numRef>
          </c:xVal>
          <c:yVal>
            <c:numRef>
              <c:f>('H. Stab &amp; Canard'!$R$34,'H. Stab &amp; Canard'!$U$34)</c:f>
            </c:numRef>
          </c:yVal>
          <c:smooth val="0"/>
        </c:ser>
        <c:ser>
          <c:idx val="5"/>
          <c:order val="5"/>
          <c:tx>
            <c:v>Panel5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('H. Stab &amp; Canard'!$S$35,'H. Stab &amp; Canard'!$V$35)</c:f>
            </c:numRef>
          </c:xVal>
          <c:yVal>
            <c:numRef>
              <c:f>('H. Stab &amp; Canard'!$R$35,'H. Stab &amp; Canard'!$U$35)</c:f>
            </c:numRef>
          </c:yVal>
          <c:smooth val="0"/>
        </c:ser>
        <c:ser>
          <c:idx val="6"/>
          <c:order val="6"/>
          <c:tx>
            <c:v>Panel6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('H. Stab &amp; Canard'!$S$36,'H. Stab &amp; Canard'!$V$36)</c:f>
            </c:numRef>
          </c:xVal>
          <c:yVal>
            <c:numRef>
              <c:f>('H. Stab &amp; Canard'!$R$36,'H. Stab &amp; Canard'!$U$36)</c:f>
            </c:numRef>
          </c:yVal>
          <c:smooth val="0"/>
        </c:ser>
        <c:ser>
          <c:idx val="7"/>
          <c:order val="7"/>
          <c:tx>
            <c:v>Panel7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('H. Stab &amp; Canard'!$S$37,'H. Stab &amp; Canard'!$V$37)</c:f>
            </c:numRef>
          </c:xVal>
          <c:yVal>
            <c:numRef>
              <c:f>('H. Stab &amp; Canard'!$R$37,'H. Stab &amp; Canard'!$U$37)</c:f>
            </c:numRef>
          </c:yVal>
          <c:smooth val="0"/>
        </c:ser>
        <c:ser>
          <c:idx val="8"/>
          <c:order val="8"/>
          <c:tx>
            <c:v>Panel8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CCCFF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('H. Stab &amp; Canard'!$S$38,'H. Stab &amp; Canard'!$V$38)</c:f>
            </c:numRef>
          </c:xVal>
          <c:yVal>
            <c:numRef>
              <c:f>('H. Stab &amp; Canard'!$R$38,'H. Stab &amp; Canard'!$U$38)</c:f>
            </c:numRef>
          </c:yVal>
          <c:smooth val="0"/>
        </c:ser>
        <c:ser>
          <c:idx val="9"/>
          <c:order val="9"/>
          <c:tx>
            <c:v>Panel9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('H. Stab &amp; Canard'!$S$39,'H. Stab &amp; Canard'!$V$39)</c:f>
            </c:numRef>
          </c:xVal>
          <c:yVal>
            <c:numRef>
              <c:f>('H. Stab &amp; Canard'!$R$39,'H. Stab &amp; Canard'!$U$39)</c:f>
            </c:numRef>
          </c:yVal>
          <c:smooth val="0"/>
        </c:ser>
        <c:ser>
          <c:idx val="10"/>
          <c:order val="10"/>
          <c:tx>
            <c:v>MAC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'H. Stab &amp; Canard'!$Y$30:$Y$32</c:f>
            </c:numRef>
          </c:xVal>
          <c:yVal>
            <c:numRef>
              <c:f>'H. Stab &amp; Canard'!$Z$30:$Z$32</c:f>
            </c:numRef>
          </c:yVal>
          <c:smooth val="0"/>
        </c:ser>
        <c:axId val="40261796"/>
        <c:axId val="66950357"/>
      </c:scatterChart>
      <c:valAx>
        <c:axId val="4026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50357"/>
        <c:crosses val="autoZero"/>
        <c:crossBetween val="midCat"/>
        <c:dispUnits/>
      </c:valAx>
      <c:valAx>
        <c:axId val="669503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6179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028"/>
          <c:w val="0.92875"/>
          <c:h val="0.86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'V. Stab &amp; V-Tail'!$R$18:$AN$18</c:f>
              <c:numCache/>
            </c:numRef>
          </c:xVal>
          <c:yVal>
            <c:numRef>
              <c:f>'V. Stab &amp; V-Tail'!$R$19:$AN$19</c:f>
              <c:numCache/>
            </c:numRef>
          </c:yVal>
          <c:smooth val="0"/>
        </c:ser>
        <c:ser>
          <c:idx val="1"/>
          <c:order val="1"/>
          <c:tx>
            <c:v>Panel1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('V. Stab &amp; V-Tail'!$S$18,'V. Stab &amp; V-Tail'!$AL$18)</c:f>
              <c:numCache/>
            </c:numRef>
          </c:xVal>
          <c:yVal>
            <c:numRef>
              <c:f>('V. Stab &amp; V-Tail'!$S$19,'V. Stab &amp; V-Tail'!$AL$19)</c:f>
              <c:numCache/>
            </c:numRef>
          </c:yVal>
          <c:smooth val="0"/>
        </c:ser>
        <c:ser>
          <c:idx val="2"/>
          <c:order val="2"/>
          <c:tx>
            <c:v>Panel2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('V. Stab &amp; V-Tail'!$T$18,'V. Stab &amp; V-Tail'!$AK$18)</c:f>
              <c:numCache/>
            </c:numRef>
          </c:xVal>
          <c:yVal>
            <c:numRef>
              <c:f>('V. Stab &amp; V-Tail'!$T$19,'V. Stab &amp; V-Tail'!$AK$19)</c:f>
              <c:numCache/>
            </c:numRef>
          </c:yVal>
          <c:smooth val="0"/>
        </c:ser>
        <c:ser>
          <c:idx val="3"/>
          <c:order val="3"/>
          <c:tx>
            <c:v>Panel3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('V. Stab &amp; V-Tail'!$U$18,'V. Stab &amp; V-Tail'!$AJ$18)</c:f>
              <c:numCache/>
            </c:numRef>
          </c:xVal>
          <c:yVal>
            <c:numRef>
              <c:f>('V. Stab &amp; V-Tail'!$U$19,'V. Stab &amp; V-Tail'!$AJ$19)</c:f>
              <c:numCache/>
            </c:numRef>
          </c:yVal>
          <c:smooth val="0"/>
        </c:ser>
        <c:ser>
          <c:idx val="4"/>
          <c:order val="4"/>
          <c:tx>
            <c:v>Panel4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('V. Stab &amp; V-Tail'!$V$18,'V. Stab &amp; V-Tail'!$AI$18)</c:f>
              <c:numCache/>
            </c:numRef>
          </c:xVal>
          <c:yVal>
            <c:numRef>
              <c:f>('V. Stab &amp; V-Tail'!$V$19,'V. Stab &amp; V-Tail'!$AI$19)</c:f>
              <c:numCache/>
            </c:numRef>
          </c:yVal>
          <c:smooth val="0"/>
        </c:ser>
        <c:ser>
          <c:idx val="5"/>
          <c:order val="5"/>
          <c:tx>
            <c:v>Panel5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('V. Stab &amp; V-Tail'!$W$18,'V. Stab &amp; V-Tail'!$AH$18)</c:f>
              <c:numCache/>
            </c:numRef>
          </c:xVal>
          <c:yVal>
            <c:numRef>
              <c:f>('V. Stab &amp; V-Tail'!$W$19,'V. Stab &amp; V-Tail'!$AH$19)</c:f>
              <c:numCache/>
            </c:numRef>
          </c:yVal>
          <c:smooth val="0"/>
        </c:ser>
        <c:ser>
          <c:idx val="6"/>
          <c:order val="6"/>
          <c:tx>
            <c:v>Panel6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('V. Stab &amp; V-Tail'!$X$18,'V. Stab &amp; V-Tail'!$AG$18)</c:f>
              <c:numCache/>
            </c:numRef>
          </c:xVal>
          <c:yVal>
            <c:numRef>
              <c:f>('V. Stab &amp; V-Tail'!$X$19,'V. Stab &amp; V-Tail'!$AG$19)</c:f>
              <c:numCache/>
            </c:numRef>
          </c:yVal>
          <c:smooth val="0"/>
        </c:ser>
        <c:ser>
          <c:idx val="7"/>
          <c:order val="7"/>
          <c:tx>
            <c:v>Panel7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('V. Stab &amp; V-Tail'!$Y$18,'V. Stab &amp; V-Tail'!$AF$18)</c:f>
              <c:numCache/>
            </c:numRef>
          </c:xVal>
          <c:yVal>
            <c:numRef>
              <c:f>('V. Stab &amp; V-Tail'!$Y$19,'V. Stab &amp; V-Tail'!$AF$19)</c:f>
              <c:numCache/>
            </c:numRef>
          </c:yVal>
          <c:smooth val="0"/>
        </c:ser>
        <c:ser>
          <c:idx val="8"/>
          <c:order val="8"/>
          <c:tx>
            <c:v>Panel8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('V. Stab &amp; V-Tail'!$Z$18,'V. Stab &amp; V-Tail'!$AE$18)</c:f>
              <c:numCache/>
            </c:numRef>
          </c:xVal>
          <c:yVal>
            <c:numRef>
              <c:f>('V. Stab &amp; V-Tail'!$Z$19,'V. Stab &amp; V-Tail'!$AE$19)</c:f>
              <c:numCache/>
            </c:numRef>
          </c:yVal>
          <c:smooth val="0"/>
        </c:ser>
        <c:ser>
          <c:idx val="9"/>
          <c:order val="9"/>
          <c:tx>
            <c:v>Panel9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('V. Stab &amp; V-Tail'!$AA$18,'V. Stab &amp; V-Tail'!$AD$18)</c:f>
              <c:numCache/>
            </c:numRef>
          </c:xVal>
          <c:yVal>
            <c:numRef>
              <c:f>('V. Stab &amp; V-Tail'!$AA$19,'V. Stab &amp; V-Tail'!$AD$19)</c:f>
              <c:numCache/>
            </c:numRef>
          </c:yVal>
          <c:smooth val="0"/>
        </c:ser>
        <c:ser>
          <c:idx val="10"/>
          <c:order val="10"/>
          <c:tx>
            <c:v>MAC</c:v>
          </c:tx>
          <c:spPr>
            <a:ln w="12700">
              <a:solidFill>
                <a:srgbClr val="DD080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DD0806"/>
                </a:solidFill>
                <a:prstDash val="dash"/>
              </a:ln>
            </c:spPr>
            <c:marker>
              <c:symbol val="circle"/>
              <c:size val="8"/>
              <c:spPr>
                <a:solidFill>
                  <a:srgbClr val="DD0806"/>
                </a:solidFill>
                <a:ln>
                  <a:solidFill>
                    <a:srgbClr val="000090"/>
                  </a:solidFill>
                </a:ln>
              </c:spPr>
            </c:marker>
          </c:dPt>
          <c:xVal>
            <c:numRef>
              <c:f>'V. Stab &amp; V-Tail'!$Y$4:$Y$6</c:f>
              <c:numCache/>
            </c:numRef>
          </c:xVal>
          <c:yVal>
            <c:numRef>
              <c:f>'V. Stab &amp; V-Tail'!$Z$4:$Z$6</c:f>
              <c:numCache/>
            </c:numRef>
          </c:yVal>
          <c:smooth val="0"/>
        </c:ser>
        <c:axId val="59976050"/>
        <c:axId val="14567691"/>
      </c:scatterChart>
      <c:valAx>
        <c:axId val="59976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X (Side View)       Front of plane -------&gt;   </a:t>
                </a:r>
              </a:p>
            </c:rich>
          </c:tx>
          <c:layout>
            <c:manualLayout>
              <c:xMode val="factor"/>
              <c:yMode val="factor"/>
              <c:x val="-0.01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67691"/>
        <c:crosses val="autoZero"/>
        <c:crossBetween val="midCat"/>
        <c:dispUnits/>
      </c:valAx>
      <c:valAx>
        <c:axId val="14567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760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2775"/>
          <c:w val="0.92675"/>
          <c:h val="0.8605"/>
        </c:manualLayout>
      </c:layout>
      <c:scatterChart>
        <c:scatterStyle val="lineMarker"/>
        <c:varyColors val="0"/>
        <c:ser>
          <c:idx val="0"/>
          <c:order val="0"/>
          <c:tx>
            <c:v>Left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'V. Stab &amp; V-Tail'!$R$20:$AB$20</c:f>
              <c:numCache/>
            </c:numRef>
          </c:xVal>
          <c:yVal>
            <c:numRef>
              <c:f>'V. Stab &amp; V-Tail'!$R$19:$AB$19</c:f>
              <c:numCache/>
            </c:numRef>
          </c:yVal>
          <c:smooth val="0"/>
        </c:ser>
        <c:ser>
          <c:idx val="1"/>
          <c:order val="1"/>
          <c:tx>
            <c:v>Right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'V. Stab &amp; V-Tail'!$R$21:$AB$21</c:f>
              <c:numCache/>
            </c:numRef>
          </c:xVal>
          <c:yVal>
            <c:numRef>
              <c:f>'V. Stab &amp; V-Tail'!$R$19:$AB$19</c:f>
              <c:numCache/>
            </c:numRef>
          </c:yVal>
          <c:smooth val="0"/>
        </c:ser>
        <c:axId val="51566320"/>
        <c:axId val="38783025"/>
      </c:scatterChart>
      <c:valAx>
        <c:axId val="51566320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(Front View)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83025"/>
        <c:crosses val="autoZero"/>
        <c:crossBetween val="midCat"/>
        <c:dispUnits/>
      </c:valAx>
      <c:valAx>
        <c:axId val="38783025"/>
        <c:scaling>
          <c:orientation val="minMax"/>
          <c:max val="4.5742950108459866"/>
          <c:min val="-1.07429501084598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663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55"/>
          <c:w val="0.946"/>
          <c:h val="0.84625"/>
        </c:manualLayout>
      </c:layout>
      <c:scatterChart>
        <c:scatterStyle val="lineMarker"/>
        <c:varyColors val="0"/>
        <c:ser>
          <c:idx val="1"/>
          <c:order val="0"/>
          <c:tx>
            <c:v>Point 1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Fuselage!$Q$9</c:f>
              <c:numCache/>
            </c:numRef>
          </c:xVal>
          <c:yVal>
            <c:numRef>
              <c:f>Fuselage!$R$9</c:f>
              <c:numCache/>
            </c:numRef>
          </c:yVal>
          <c:smooth val="0"/>
        </c:ser>
        <c:ser>
          <c:idx val="2"/>
          <c:order val="1"/>
          <c:tx>
            <c:strRef>
              <c:f>Fuselage!$S$10</c:f>
              <c:strCache>
                <c:ptCount val="1"/>
                <c:pt idx="0">
                  <c:v>Point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Fuselage!$Q$10</c:f>
              <c:numCache/>
            </c:numRef>
          </c:xVal>
          <c:yVal>
            <c:numRef>
              <c:f>Fuselage!$R$10</c:f>
              <c:numCache/>
            </c:numRef>
          </c:yVal>
          <c:smooth val="0"/>
        </c:ser>
        <c:ser>
          <c:idx val="3"/>
          <c:order val="2"/>
          <c:tx>
            <c:strRef>
              <c:f>Fuselage!$S$11</c:f>
              <c:strCache>
                <c:ptCount val="1"/>
                <c:pt idx="0">
                  <c:v>Point 3</c:v>
                </c:pt>
              </c:strCache>
            </c:strRef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Fuselage!$Q$11</c:f>
              <c:numCache/>
            </c:numRef>
          </c:xVal>
          <c:yVal>
            <c:numRef>
              <c:f>Fuselage!$R$11</c:f>
              <c:numCache/>
            </c:numRef>
          </c:yVal>
          <c:smooth val="0"/>
        </c:ser>
        <c:ser>
          <c:idx val="4"/>
          <c:order val="3"/>
          <c:tx>
            <c:strRef>
              <c:f>Fuselage!$S$12</c:f>
              <c:strCache>
                <c:ptCount val="1"/>
                <c:pt idx="0">
                  <c:v>Point 4</c:v>
                </c:pt>
              </c:strCache>
            </c:strRef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Fuselage!$Q$12</c:f>
              <c:numCache/>
            </c:numRef>
          </c:xVal>
          <c:yVal>
            <c:numRef>
              <c:f>Fuselage!$R$12</c:f>
              <c:numCache/>
            </c:numRef>
          </c:yVal>
          <c:smooth val="0"/>
        </c:ser>
        <c:ser>
          <c:idx val="5"/>
          <c:order val="4"/>
          <c:tx>
            <c:strRef>
              <c:f>Fuselage!$S$13</c:f>
              <c:strCache>
                <c:ptCount val="1"/>
                <c:pt idx="0">
                  <c:v>Point 5</c:v>
                </c:pt>
              </c:strCache>
            </c:strRef>
          </c:tx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Fuselage!$Q$13</c:f>
              <c:numCache/>
            </c:numRef>
          </c:xVal>
          <c:yVal>
            <c:numRef>
              <c:f>Fuselage!$R$13</c:f>
              <c:numCache/>
            </c:numRef>
          </c:yVal>
          <c:smooth val="0"/>
        </c:ser>
        <c:ser>
          <c:idx val="6"/>
          <c:order val="5"/>
          <c:tx>
            <c:strRef>
              <c:f>Fuselage!$S$14</c:f>
              <c:strCache>
                <c:ptCount val="1"/>
                <c:pt idx="0">
                  <c:v>Point 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Fuselage!$Q$14</c:f>
              <c:numCache/>
            </c:numRef>
          </c:xVal>
          <c:yVal>
            <c:numRef>
              <c:f>Fuselage!$R$14</c:f>
              <c:numCache/>
            </c:numRef>
          </c:yVal>
          <c:smooth val="0"/>
        </c:ser>
        <c:ser>
          <c:idx val="7"/>
          <c:order val="6"/>
          <c:tx>
            <c:strRef>
              <c:f>Fuselage!$S$15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Fuselage!$Q$15</c:f>
              <c:numCache/>
            </c:numRef>
          </c:xVal>
          <c:yVal>
            <c:numRef>
              <c:f>Fuselage!$R$15</c:f>
              <c:numCache/>
            </c:numRef>
          </c:yVal>
          <c:smooth val="0"/>
        </c:ser>
        <c:ser>
          <c:idx val="8"/>
          <c:order val="7"/>
          <c:tx>
            <c:strRef>
              <c:f>Fuselage!$S$16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Fuselage!$Q$16</c:f>
              <c:numCache/>
            </c:numRef>
          </c:xVal>
          <c:yVal>
            <c:numRef>
              <c:f>Fuselage!$R$16</c:f>
              <c:numCache/>
            </c:numRef>
          </c:yVal>
          <c:smooth val="0"/>
        </c:ser>
        <c:ser>
          <c:idx val="9"/>
          <c:order val="8"/>
          <c:tx>
            <c:strRef>
              <c:f>Fuselage!$S$17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Fuselage!$Q$17</c:f>
              <c:numCache/>
            </c:numRef>
          </c:xVal>
          <c:yVal>
            <c:numRef>
              <c:f>Fuselage!$R$17</c:f>
              <c:numCache/>
            </c:numRef>
          </c:yVal>
          <c:smooth val="0"/>
        </c:ser>
        <c:ser>
          <c:idx val="10"/>
          <c:order val="9"/>
          <c:tx>
            <c:strRef>
              <c:f>Fuselage!$S$18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Fuselage!$Q$18</c:f>
              <c:numCache/>
            </c:numRef>
          </c:xVal>
          <c:yVal>
            <c:numRef>
              <c:f>Fuselage!$R$18</c:f>
              <c:numCache/>
            </c:numRef>
          </c:yVal>
          <c:smooth val="0"/>
        </c:ser>
        <c:ser>
          <c:idx val="11"/>
          <c:order val="10"/>
          <c:tx>
            <c:strRef>
              <c:f>Fuselage!$S$19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Fuselage!$Q$19</c:f>
              <c:numCache/>
            </c:numRef>
          </c:xVal>
          <c:yVal>
            <c:numRef>
              <c:f>Fuselage!$R$19</c:f>
              <c:numCache/>
            </c:numRef>
          </c:yVal>
          <c:smooth val="0"/>
        </c:ser>
        <c:ser>
          <c:idx val="12"/>
          <c:order val="11"/>
          <c:tx>
            <c:strRef>
              <c:f>Fuselage!$S$20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Fuselage!$Q$20</c:f>
              <c:numCache/>
            </c:numRef>
          </c:xVal>
          <c:yVal>
            <c:numRef>
              <c:f>Fuselage!$R$20</c:f>
              <c:numCache/>
            </c:numRef>
          </c:yVal>
          <c:smooth val="0"/>
        </c:ser>
        <c:ser>
          <c:idx val="13"/>
          <c:order val="12"/>
          <c:tx>
            <c:strRef>
              <c:f>Fuselage!$S$21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Fuselage!$Q$21</c:f>
              <c:numCache/>
            </c:numRef>
          </c:xVal>
          <c:yVal>
            <c:numRef>
              <c:f>Fuselage!$R$21</c:f>
              <c:numCache/>
            </c:numRef>
          </c:yVal>
          <c:smooth val="0"/>
        </c:ser>
        <c:ser>
          <c:idx val="14"/>
          <c:order val="13"/>
          <c:tx>
            <c:strRef>
              <c:f>Fuselage!$S$22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Fuselage!$Q$22</c:f>
              <c:numCache/>
            </c:numRef>
          </c:xVal>
          <c:yVal>
            <c:numRef>
              <c:f>Fuselage!$R$22</c:f>
              <c:numCache/>
            </c:numRef>
          </c:yVal>
          <c:smooth val="0"/>
        </c:ser>
        <c:ser>
          <c:idx val="15"/>
          <c:order val="14"/>
          <c:tx>
            <c:strRef>
              <c:f>Fuselage!$S$23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Fuselage!$Q$23</c:f>
              <c:numCache/>
            </c:numRef>
          </c:xVal>
          <c:yVal>
            <c:numRef>
              <c:f>Fuselage!$R$23</c:f>
              <c:numCache/>
            </c:numRef>
          </c:yVal>
          <c:smooth val="0"/>
        </c:ser>
        <c:ser>
          <c:idx val="16"/>
          <c:order val="15"/>
          <c:tx>
            <c:strRef>
              <c:f>Fuselage!$S$24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Fuselage!$Q$24</c:f>
              <c:numCache/>
            </c:numRef>
          </c:xVal>
          <c:yVal>
            <c:numRef>
              <c:f>Fuselage!$R$24</c:f>
              <c:numCache/>
            </c:numRef>
          </c:yVal>
          <c:smooth val="0"/>
        </c:ser>
        <c:ser>
          <c:idx val="17"/>
          <c:order val="16"/>
          <c:tx>
            <c:strRef>
              <c:f>Fuselage!$S$25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Fuselage!$Q$25</c:f>
              <c:numCache/>
            </c:numRef>
          </c:xVal>
          <c:yVal>
            <c:numRef>
              <c:f>Fuselage!$R$25</c:f>
              <c:numCache/>
            </c:numRef>
          </c:yVal>
          <c:smooth val="0"/>
        </c:ser>
        <c:ser>
          <c:idx val="18"/>
          <c:order val="17"/>
          <c:tx>
            <c:strRef>
              <c:f>Fuselage!$S$26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Fuselage!$Q$26</c:f>
              <c:numCache/>
            </c:numRef>
          </c:xVal>
          <c:yVal>
            <c:numRef>
              <c:f>Fuselage!$R$26</c:f>
              <c:numCache/>
            </c:numRef>
          </c:yVal>
          <c:smooth val="0"/>
        </c:ser>
        <c:ser>
          <c:idx val="19"/>
          <c:order val="18"/>
          <c:tx>
            <c:strRef>
              <c:f>Fuselage!$S$27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Fuselage!$Q$27</c:f>
              <c:numCache/>
            </c:numRef>
          </c:xVal>
          <c:yVal>
            <c:numRef>
              <c:f>Fuselage!$R$27</c:f>
              <c:numCache/>
            </c:numRef>
          </c:yVal>
          <c:smooth val="0"/>
        </c:ser>
        <c:ser>
          <c:idx val="20"/>
          <c:order val="19"/>
          <c:tx>
            <c:strRef>
              <c:f>Fuselage!$S$28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Fuselage!$Q$28</c:f>
              <c:numCache/>
            </c:numRef>
          </c:xVal>
          <c:yVal>
            <c:numRef>
              <c:f>Fuselage!$R$28</c:f>
              <c:numCache/>
            </c:numRef>
          </c:yVal>
          <c:smooth val="0"/>
        </c:ser>
        <c:ser>
          <c:idx val="0"/>
          <c:order val="2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Fuselage!$Q$9:$Q$49</c:f>
              <c:numCache/>
            </c:numRef>
          </c:xVal>
          <c:yVal>
            <c:numRef>
              <c:f>Fuselage!$R$9:$R$49</c:f>
              <c:numCache/>
            </c:numRef>
          </c:yVal>
          <c:smooth val="0"/>
        </c:ser>
        <c:ser>
          <c:idx val="21"/>
          <c:order val="21"/>
          <c:tx>
            <c:v>Centroid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DD0806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Fuselage!$H$32</c:f>
              <c:numCache/>
            </c:numRef>
          </c:xVal>
          <c:yVal>
            <c:numRef>
              <c:f>Fuselage!$H$33</c:f>
              <c:numCache/>
            </c:numRef>
          </c:yVal>
          <c:smooth val="0"/>
        </c:ser>
        <c:ser>
          <c:idx val="22"/>
          <c:order val="22"/>
          <c:tx>
            <c:v>Intersect1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90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Fuselage!$C$31</c:f>
              <c:numCache/>
            </c:numRef>
          </c:xVal>
          <c:yVal>
            <c:numRef>
              <c:f>Fuselage!$D$31</c:f>
              <c:numCache/>
            </c:numRef>
          </c:yVal>
          <c:smooth val="0"/>
        </c:ser>
        <c:ser>
          <c:idx val="23"/>
          <c:order val="23"/>
          <c:tx>
            <c:v>Intersect2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90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Fuselage!$C$32</c:f>
              <c:numCache/>
            </c:numRef>
          </c:xVal>
          <c:yVal>
            <c:numRef>
              <c:f>Fuselage!$D$32</c:f>
              <c:numCache/>
            </c:numRef>
          </c:yVal>
          <c:smooth val="0"/>
        </c:ser>
        <c:ser>
          <c:idx val="24"/>
          <c:order val="24"/>
          <c:tx>
            <c:v>Int1b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90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Fuselage!$C$31</c:f>
              <c:numCache/>
            </c:numRef>
          </c:xVal>
          <c:yVal>
            <c:numRef>
              <c:f>Fuselage!$E$31</c:f>
              <c:numCache/>
            </c:numRef>
          </c:yVal>
          <c:smooth val="0"/>
        </c:ser>
        <c:ser>
          <c:idx val="25"/>
          <c:order val="25"/>
          <c:tx>
            <c:v>Int2b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90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Fuselage!$C$32</c:f>
              <c:numCache/>
            </c:numRef>
          </c:xVal>
          <c:yVal>
            <c:numRef>
              <c:f>Fuselage!$E$32</c:f>
              <c:numCache/>
            </c:numRef>
          </c:yVal>
          <c:smooth val="0"/>
        </c:ser>
        <c:axId val="405662"/>
        <c:axId val="18254791"/>
      </c:scatterChart>
      <c:valAx>
        <c:axId val="405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      Front of fuselage -------&gt;                 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54791"/>
        <c:crosses val="autoZero"/>
        <c:crossBetween val="midCat"/>
        <c:dispUnits/>
      </c:valAx>
      <c:valAx>
        <c:axId val="18254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6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v>RWing1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Wings!$R$19:$AN$19</c:f>
              <c:numCache>
                <c:ptCount val="23"/>
                <c:pt idx="0">
                  <c:v>0</c:v>
                </c:pt>
                <c:pt idx="1">
                  <c:v>23.5</c:v>
                </c:pt>
                <c:pt idx="2">
                  <c:v>48.5</c:v>
                </c:pt>
                <c:pt idx="3">
                  <c:v>60.47076860311789</c:v>
                </c:pt>
                <c:pt idx="4">
                  <c:v>63.06443513379343</c:v>
                </c:pt>
                <c:pt idx="5">
                  <c:v>63.06443513379343</c:v>
                </c:pt>
                <c:pt idx="6">
                  <c:v>63.06443513379343</c:v>
                </c:pt>
                <c:pt idx="7">
                  <c:v>63.06443513379343</c:v>
                </c:pt>
                <c:pt idx="8">
                  <c:v>63.06443513379343</c:v>
                </c:pt>
                <c:pt idx="9">
                  <c:v>63.06443513379343</c:v>
                </c:pt>
                <c:pt idx="10">
                  <c:v>63.06443513379343</c:v>
                </c:pt>
                <c:pt idx="11">
                  <c:v>63.06443513379343</c:v>
                </c:pt>
                <c:pt idx="12">
                  <c:v>63.06443513379343</c:v>
                </c:pt>
                <c:pt idx="13">
                  <c:v>63.06443513379343</c:v>
                </c:pt>
                <c:pt idx="14">
                  <c:v>63.06443513379343</c:v>
                </c:pt>
                <c:pt idx="15">
                  <c:v>63.06443513379343</c:v>
                </c:pt>
                <c:pt idx="16">
                  <c:v>63.06443513379343</c:v>
                </c:pt>
                <c:pt idx="17">
                  <c:v>63.06443513379343</c:v>
                </c:pt>
                <c:pt idx="18">
                  <c:v>60.47076860311789</c:v>
                </c:pt>
                <c:pt idx="19">
                  <c:v>48.5</c:v>
                </c:pt>
                <c:pt idx="20">
                  <c:v>23.5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Wings!$R$18:$AN$18</c:f>
              <c:numCache>
                <c:ptCount val="23"/>
                <c:pt idx="0">
                  <c:v>0</c:v>
                </c:pt>
                <c:pt idx="1">
                  <c:v>-0.3</c:v>
                </c:pt>
                <c:pt idx="2">
                  <c:v>-1.1</c:v>
                </c:pt>
                <c:pt idx="3">
                  <c:v>-3.1</c:v>
                </c:pt>
                <c:pt idx="4">
                  <c:v>-4.1</c:v>
                </c:pt>
                <c:pt idx="5">
                  <c:v>-4.1</c:v>
                </c:pt>
                <c:pt idx="6">
                  <c:v>-4.1</c:v>
                </c:pt>
                <c:pt idx="7">
                  <c:v>-4.1</c:v>
                </c:pt>
                <c:pt idx="8">
                  <c:v>-4.1</c:v>
                </c:pt>
                <c:pt idx="9">
                  <c:v>-4.1</c:v>
                </c:pt>
                <c:pt idx="10">
                  <c:v>-4.1</c:v>
                </c:pt>
                <c:pt idx="11">
                  <c:v>-4.1</c:v>
                </c:pt>
                <c:pt idx="12">
                  <c:v>-4.1</c:v>
                </c:pt>
                <c:pt idx="13">
                  <c:v>-4.1</c:v>
                </c:pt>
                <c:pt idx="14">
                  <c:v>-4.1</c:v>
                </c:pt>
                <c:pt idx="15">
                  <c:v>-4.1</c:v>
                </c:pt>
                <c:pt idx="16">
                  <c:v>-4.1</c:v>
                </c:pt>
                <c:pt idx="17">
                  <c:v>-5.6</c:v>
                </c:pt>
                <c:pt idx="18">
                  <c:v>-6.1</c:v>
                </c:pt>
                <c:pt idx="19">
                  <c:v>-7.225</c:v>
                </c:pt>
                <c:pt idx="20">
                  <c:v>-8.425</c:v>
                </c:pt>
                <c:pt idx="21">
                  <c:v>-9.125</c:v>
                </c:pt>
                <c:pt idx="2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LWing1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Wings!$R$23:$AN$23</c:f>
              <c:numCache>
                <c:ptCount val="23"/>
                <c:pt idx="0">
                  <c:v>0</c:v>
                </c:pt>
                <c:pt idx="1">
                  <c:v>-23.5</c:v>
                </c:pt>
                <c:pt idx="2">
                  <c:v>-48.5</c:v>
                </c:pt>
                <c:pt idx="3">
                  <c:v>-60.47076860311789</c:v>
                </c:pt>
                <c:pt idx="4">
                  <c:v>-63.06443513379343</c:v>
                </c:pt>
                <c:pt idx="5">
                  <c:v>-63.06443513379343</c:v>
                </c:pt>
                <c:pt idx="6">
                  <c:v>-63.06443513379343</c:v>
                </c:pt>
                <c:pt idx="7">
                  <c:v>-63.06443513379343</c:v>
                </c:pt>
                <c:pt idx="8">
                  <c:v>-63.06443513379343</c:v>
                </c:pt>
                <c:pt idx="9">
                  <c:v>-63.06443513379343</c:v>
                </c:pt>
                <c:pt idx="10">
                  <c:v>-63.06443513379343</c:v>
                </c:pt>
                <c:pt idx="11">
                  <c:v>-63.06443513379343</c:v>
                </c:pt>
                <c:pt idx="12">
                  <c:v>-63.06443513379343</c:v>
                </c:pt>
                <c:pt idx="13">
                  <c:v>-63.06443513379343</c:v>
                </c:pt>
                <c:pt idx="14">
                  <c:v>-63.06443513379343</c:v>
                </c:pt>
                <c:pt idx="15">
                  <c:v>-63.06443513379343</c:v>
                </c:pt>
                <c:pt idx="16">
                  <c:v>-63.06443513379343</c:v>
                </c:pt>
                <c:pt idx="17">
                  <c:v>-63.06443513379343</c:v>
                </c:pt>
                <c:pt idx="18">
                  <c:v>-60.47076860311789</c:v>
                </c:pt>
                <c:pt idx="19">
                  <c:v>-48.5</c:v>
                </c:pt>
                <c:pt idx="20">
                  <c:v>-23.5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Wings!$R$22:$AN$22</c:f>
              <c:numCache>
                <c:ptCount val="23"/>
                <c:pt idx="0">
                  <c:v>0</c:v>
                </c:pt>
                <c:pt idx="1">
                  <c:v>-0.3</c:v>
                </c:pt>
                <c:pt idx="2">
                  <c:v>-1.1</c:v>
                </c:pt>
                <c:pt idx="3">
                  <c:v>-3.1</c:v>
                </c:pt>
                <c:pt idx="4">
                  <c:v>-4.1</c:v>
                </c:pt>
                <c:pt idx="5">
                  <c:v>-4.1</c:v>
                </c:pt>
                <c:pt idx="6">
                  <c:v>-4.1</c:v>
                </c:pt>
                <c:pt idx="7">
                  <c:v>-4.1</c:v>
                </c:pt>
                <c:pt idx="8">
                  <c:v>-4.1</c:v>
                </c:pt>
                <c:pt idx="9">
                  <c:v>-4.1</c:v>
                </c:pt>
                <c:pt idx="10">
                  <c:v>-4.1</c:v>
                </c:pt>
                <c:pt idx="11">
                  <c:v>-4.1</c:v>
                </c:pt>
                <c:pt idx="12">
                  <c:v>-4.1</c:v>
                </c:pt>
                <c:pt idx="13">
                  <c:v>-4.1</c:v>
                </c:pt>
                <c:pt idx="14">
                  <c:v>-4.1</c:v>
                </c:pt>
                <c:pt idx="15">
                  <c:v>-4.1</c:v>
                </c:pt>
                <c:pt idx="16">
                  <c:v>-4.1</c:v>
                </c:pt>
                <c:pt idx="17">
                  <c:v>-5.6</c:v>
                </c:pt>
                <c:pt idx="18">
                  <c:v>-6.1</c:v>
                </c:pt>
                <c:pt idx="19">
                  <c:v>-7.225</c:v>
                </c:pt>
                <c:pt idx="20">
                  <c:v>-8.425</c:v>
                </c:pt>
                <c:pt idx="21">
                  <c:v>-9.125</c:v>
                </c:pt>
                <c:pt idx="2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RWing2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xVal>
            <c:numRef>
              <c:f>Wings!$R$45:$AN$45</c:f>
            </c:numRef>
          </c:xVal>
          <c:yVal>
            <c:numRef>
              <c:f>Wings!$R$44:$AN$44</c:f>
            </c:numRef>
          </c:yVal>
          <c:smooth val="0"/>
        </c:ser>
        <c:ser>
          <c:idx val="3"/>
          <c:order val="3"/>
          <c:tx>
            <c:v>LWing2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Wings!$R$49:$AN$49</c:f>
            </c:numRef>
          </c:xVal>
          <c:yVal>
            <c:numRef>
              <c:f>Wings!$R$48:$AN$48</c:f>
            </c:numRef>
          </c:yVal>
          <c:smooth val="0"/>
        </c:ser>
        <c:ser>
          <c:idx val="4"/>
          <c:order val="4"/>
          <c:tx>
            <c:v>RWing3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Wings!$R$71:$AN$71</c:f>
            </c:numRef>
          </c:xVal>
          <c:yVal>
            <c:numRef>
              <c:f>Wings!$R$70:$AN$70</c:f>
            </c:numRef>
          </c:yVal>
          <c:smooth val="0"/>
        </c:ser>
        <c:ser>
          <c:idx val="5"/>
          <c:order val="5"/>
          <c:tx>
            <c:v>LWing3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xVal>
            <c:numRef>
              <c:f>Wings!$R$75:$AN$75</c:f>
            </c:numRef>
          </c:xVal>
          <c:yVal>
            <c:numRef>
              <c:f>Wings!$R$74:$AN$74</c:f>
            </c:numRef>
          </c:yVal>
          <c:smooth val="0"/>
        </c:ser>
        <c:ser>
          <c:idx val="6"/>
          <c:order val="6"/>
          <c:tx>
            <c:v>RHStab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'H. Stab &amp; Canard'!$R$19:$AN$19</c:f>
              <c:numCache>
                <c:ptCount val="23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8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'H. Stab &amp; Canard'!$R$18:$AN$18</c:f>
              <c:numCache>
                <c:ptCount val="23"/>
                <c:pt idx="0">
                  <c:v>-37</c:v>
                </c:pt>
                <c:pt idx="1">
                  <c:v>-38</c:v>
                </c:pt>
                <c:pt idx="2">
                  <c:v>-39.5</c:v>
                </c:pt>
                <c:pt idx="3">
                  <c:v>-39.5</c:v>
                </c:pt>
                <c:pt idx="4">
                  <c:v>-39.5</c:v>
                </c:pt>
                <c:pt idx="5">
                  <c:v>-39.5</c:v>
                </c:pt>
                <c:pt idx="6">
                  <c:v>-39.5</c:v>
                </c:pt>
                <c:pt idx="7">
                  <c:v>-39.5</c:v>
                </c:pt>
                <c:pt idx="8">
                  <c:v>-39.5</c:v>
                </c:pt>
                <c:pt idx="9">
                  <c:v>-39.5</c:v>
                </c:pt>
                <c:pt idx="10">
                  <c:v>-39.5</c:v>
                </c:pt>
                <c:pt idx="11">
                  <c:v>-39.5</c:v>
                </c:pt>
                <c:pt idx="12">
                  <c:v>-39.5</c:v>
                </c:pt>
                <c:pt idx="13">
                  <c:v>-39.5</c:v>
                </c:pt>
                <c:pt idx="14">
                  <c:v>-39.5</c:v>
                </c:pt>
                <c:pt idx="15">
                  <c:v>-39.5</c:v>
                </c:pt>
                <c:pt idx="16">
                  <c:v>-39.5</c:v>
                </c:pt>
                <c:pt idx="17">
                  <c:v>-39.5</c:v>
                </c:pt>
                <c:pt idx="18">
                  <c:v>-39.5</c:v>
                </c:pt>
                <c:pt idx="19">
                  <c:v>-40.25</c:v>
                </c:pt>
                <c:pt idx="20">
                  <c:v>-41</c:v>
                </c:pt>
                <c:pt idx="21">
                  <c:v>-41.75</c:v>
                </c:pt>
                <c:pt idx="22">
                  <c:v>-37</c:v>
                </c:pt>
              </c:numCache>
            </c:numRef>
          </c:yVal>
          <c:smooth val="0"/>
        </c:ser>
        <c:ser>
          <c:idx val="7"/>
          <c:order val="7"/>
          <c:tx>
            <c:v>LHStab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'H. Stab &amp; Canard'!$R$23:$AN$23</c:f>
              <c:numCache>
                <c:ptCount val="23"/>
                <c:pt idx="0">
                  <c:v>0</c:v>
                </c:pt>
                <c:pt idx="1">
                  <c:v>-8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  <c:pt idx="5">
                  <c:v>-12</c:v>
                </c:pt>
                <c:pt idx="6">
                  <c:v>-12</c:v>
                </c:pt>
                <c:pt idx="7">
                  <c:v>-12</c:v>
                </c:pt>
                <c:pt idx="8">
                  <c:v>-12</c:v>
                </c:pt>
                <c:pt idx="9">
                  <c:v>-12</c:v>
                </c:pt>
                <c:pt idx="10">
                  <c:v>-12</c:v>
                </c:pt>
                <c:pt idx="11">
                  <c:v>-12</c:v>
                </c:pt>
                <c:pt idx="12">
                  <c:v>-12</c:v>
                </c:pt>
                <c:pt idx="13">
                  <c:v>-12</c:v>
                </c:pt>
                <c:pt idx="14">
                  <c:v>-12</c:v>
                </c:pt>
                <c:pt idx="15">
                  <c:v>-12</c:v>
                </c:pt>
                <c:pt idx="16">
                  <c:v>-12</c:v>
                </c:pt>
                <c:pt idx="17">
                  <c:v>-12</c:v>
                </c:pt>
                <c:pt idx="18">
                  <c:v>-12</c:v>
                </c:pt>
                <c:pt idx="19">
                  <c:v>-12</c:v>
                </c:pt>
                <c:pt idx="20">
                  <c:v>-8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'H. Stab &amp; Canard'!$R$22:$AN$22</c:f>
              <c:numCache>
                <c:ptCount val="23"/>
                <c:pt idx="0">
                  <c:v>-37</c:v>
                </c:pt>
                <c:pt idx="1">
                  <c:v>-38</c:v>
                </c:pt>
                <c:pt idx="2">
                  <c:v>-39.5</c:v>
                </c:pt>
                <c:pt idx="3">
                  <c:v>-39.5</c:v>
                </c:pt>
                <c:pt idx="4">
                  <c:v>-39.5</c:v>
                </c:pt>
                <c:pt idx="5">
                  <c:v>-39.5</c:v>
                </c:pt>
                <c:pt idx="6">
                  <c:v>-39.5</c:v>
                </c:pt>
                <c:pt idx="7">
                  <c:v>-39.5</c:v>
                </c:pt>
                <c:pt idx="8">
                  <c:v>-39.5</c:v>
                </c:pt>
                <c:pt idx="9">
                  <c:v>-39.5</c:v>
                </c:pt>
                <c:pt idx="10">
                  <c:v>-39.5</c:v>
                </c:pt>
                <c:pt idx="11">
                  <c:v>-39.5</c:v>
                </c:pt>
                <c:pt idx="12">
                  <c:v>-39.5</c:v>
                </c:pt>
                <c:pt idx="13">
                  <c:v>-39.5</c:v>
                </c:pt>
                <c:pt idx="14">
                  <c:v>-39.5</c:v>
                </c:pt>
                <c:pt idx="15">
                  <c:v>-39.5</c:v>
                </c:pt>
                <c:pt idx="16">
                  <c:v>-39.5</c:v>
                </c:pt>
                <c:pt idx="17">
                  <c:v>-39.5</c:v>
                </c:pt>
                <c:pt idx="18">
                  <c:v>-39.5</c:v>
                </c:pt>
                <c:pt idx="19">
                  <c:v>-40.25</c:v>
                </c:pt>
                <c:pt idx="20">
                  <c:v>-41</c:v>
                </c:pt>
                <c:pt idx="21">
                  <c:v>-41.75</c:v>
                </c:pt>
                <c:pt idx="22">
                  <c:v>-37</c:v>
                </c:pt>
              </c:numCache>
            </c:numRef>
          </c:yVal>
          <c:smooth val="0"/>
        </c:ser>
        <c:ser>
          <c:idx val="8"/>
          <c:order val="8"/>
          <c:tx>
            <c:v>RCanard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xVal>
            <c:numRef>
              <c:f>'H. Stab &amp; Canard'!$R$45:$AN$45</c:f>
            </c:numRef>
          </c:xVal>
          <c:yVal>
            <c:numRef>
              <c:f>'H. Stab &amp; Canard'!$R$44:$AN$44</c:f>
            </c:numRef>
          </c:yVal>
          <c:smooth val="0"/>
        </c:ser>
        <c:ser>
          <c:idx val="9"/>
          <c:order val="9"/>
          <c:tx>
            <c:v>LCanard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'H. Stab &amp; Canard'!$R$49:$AN$49</c:f>
            </c:numRef>
          </c:xVal>
          <c:yVal>
            <c:numRef>
              <c:f>'H. Stab &amp; Canard'!$R$48:$AN$48</c:f>
            </c:numRef>
          </c:yVal>
          <c:smooth val="0"/>
        </c:ser>
        <c:ser>
          <c:idx val="10"/>
          <c:order val="10"/>
          <c:tx>
            <c:v>RVStab</c:v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'V. Stab &amp; V-Tail'!$R$20:$AN$20</c:f>
              <c:numCache>
                <c:ptCount val="23"/>
                <c:pt idx="0">
                  <c:v>0</c:v>
                </c:pt>
                <c:pt idx="1">
                  <c:v>7.35089072945172E-16</c:v>
                </c:pt>
                <c:pt idx="2">
                  <c:v>7.35089072945172E-16</c:v>
                </c:pt>
                <c:pt idx="3">
                  <c:v>7.35089072945172E-16</c:v>
                </c:pt>
                <c:pt idx="4">
                  <c:v>7.35089072945172E-16</c:v>
                </c:pt>
                <c:pt idx="5">
                  <c:v>7.35089072945172E-16</c:v>
                </c:pt>
                <c:pt idx="6">
                  <c:v>7.35089072945172E-16</c:v>
                </c:pt>
                <c:pt idx="7">
                  <c:v>7.35089072945172E-16</c:v>
                </c:pt>
                <c:pt idx="8">
                  <c:v>7.35089072945172E-16</c:v>
                </c:pt>
                <c:pt idx="9">
                  <c:v>7.35089072945172E-16</c:v>
                </c:pt>
                <c:pt idx="10">
                  <c:v>7.35089072945172E-16</c:v>
                </c:pt>
                <c:pt idx="11">
                  <c:v>7.35089072945172E-16</c:v>
                </c:pt>
                <c:pt idx="12">
                  <c:v>7.35089072945172E-16</c:v>
                </c:pt>
                <c:pt idx="13">
                  <c:v>7.35089072945172E-16</c:v>
                </c:pt>
                <c:pt idx="14">
                  <c:v>7.35089072945172E-16</c:v>
                </c:pt>
                <c:pt idx="15">
                  <c:v>7.35089072945172E-16</c:v>
                </c:pt>
                <c:pt idx="16">
                  <c:v>7.35089072945172E-16</c:v>
                </c:pt>
                <c:pt idx="17">
                  <c:v>7.35089072945172E-16</c:v>
                </c:pt>
                <c:pt idx="18">
                  <c:v>7.35089072945172E-16</c:v>
                </c:pt>
                <c:pt idx="19">
                  <c:v>7.35089072945172E-16</c:v>
                </c:pt>
                <c:pt idx="20">
                  <c:v>7.35089072945172E-16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'V. Stab &amp; V-Tail'!$R$18:$AN$18</c:f>
              <c:numCache>
                <c:ptCount val="23"/>
                <c:pt idx="0">
                  <c:v>-41</c:v>
                </c:pt>
                <c:pt idx="1">
                  <c:v>-43</c:v>
                </c:pt>
                <c:pt idx="2">
                  <c:v>-43</c:v>
                </c:pt>
                <c:pt idx="3">
                  <c:v>-43</c:v>
                </c:pt>
                <c:pt idx="4">
                  <c:v>-43</c:v>
                </c:pt>
                <c:pt idx="5">
                  <c:v>-43</c:v>
                </c:pt>
                <c:pt idx="6">
                  <c:v>-43</c:v>
                </c:pt>
                <c:pt idx="7">
                  <c:v>-43</c:v>
                </c:pt>
                <c:pt idx="8">
                  <c:v>-43</c:v>
                </c:pt>
                <c:pt idx="9">
                  <c:v>-43</c:v>
                </c:pt>
                <c:pt idx="10">
                  <c:v>-43</c:v>
                </c:pt>
                <c:pt idx="11">
                  <c:v>-43</c:v>
                </c:pt>
                <c:pt idx="12">
                  <c:v>-43</c:v>
                </c:pt>
                <c:pt idx="13">
                  <c:v>-43</c:v>
                </c:pt>
                <c:pt idx="14">
                  <c:v>-43</c:v>
                </c:pt>
                <c:pt idx="15">
                  <c:v>-43</c:v>
                </c:pt>
                <c:pt idx="16">
                  <c:v>-43</c:v>
                </c:pt>
                <c:pt idx="17">
                  <c:v>-43</c:v>
                </c:pt>
                <c:pt idx="18">
                  <c:v>-43</c:v>
                </c:pt>
                <c:pt idx="19">
                  <c:v>-43</c:v>
                </c:pt>
                <c:pt idx="20">
                  <c:v>-45.25</c:v>
                </c:pt>
                <c:pt idx="21">
                  <c:v>-47.25</c:v>
                </c:pt>
                <c:pt idx="22">
                  <c:v>-41</c:v>
                </c:pt>
              </c:numCache>
            </c:numRef>
          </c:yVal>
          <c:smooth val="0"/>
        </c:ser>
        <c:ser>
          <c:idx val="11"/>
          <c:order val="11"/>
          <c:tx>
            <c:v>LVStab</c:v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'V. Stab &amp; V-Tail'!$R$21:$AN$21</c:f>
              <c:numCache>
                <c:ptCount val="23"/>
                <c:pt idx="0">
                  <c:v>0</c:v>
                </c:pt>
                <c:pt idx="1">
                  <c:v>7.35089072945172E-16</c:v>
                </c:pt>
                <c:pt idx="2">
                  <c:v>7.35089072945172E-16</c:v>
                </c:pt>
                <c:pt idx="3">
                  <c:v>7.35089072945172E-16</c:v>
                </c:pt>
                <c:pt idx="4">
                  <c:v>7.35089072945172E-16</c:v>
                </c:pt>
                <c:pt idx="5">
                  <c:v>7.35089072945172E-16</c:v>
                </c:pt>
                <c:pt idx="6">
                  <c:v>7.35089072945172E-16</c:v>
                </c:pt>
                <c:pt idx="7">
                  <c:v>7.35089072945172E-16</c:v>
                </c:pt>
                <c:pt idx="8">
                  <c:v>7.35089072945172E-16</c:v>
                </c:pt>
                <c:pt idx="9">
                  <c:v>7.35089072945172E-16</c:v>
                </c:pt>
                <c:pt idx="10">
                  <c:v>7.35089072945172E-16</c:v>
                </c:pt>
                <c:pt idx="11">
                  <c:v>7.35089072945172E-16</c:v>
                </c:pt>
                <c:pt idx="12">
                  <c:v>7.35089072945172E-16</c:v>
                </c:pt>
                <c:pt idx="13">
                  <c:v>7.35089072945172E-16</c:v>
                </c:pt>
                <c:pt idx="14">
                  <c:v>7.35089072945172E-16</c:v>
                </c:pt>
                <c:pt idx="15">
                  <c:v>7.35089072945172E-16</c:v>
                </c:pt>
                <c:pt idx="16">
                  <c:v>7.35089072945172E-16</c:v>
                </c:pt>
                <c:pt idx="17">
                  <c:v>7.35089072945172E-16</c:v>
                </c:pt>
                <c:pt idx="18">
                  <c:v>7.35089072945172E-16</c:v>
                </c:pt>
                <c:pt idx="19">
                  <c:v>7.35089072945172E-16</c:v>
                </c:pt>
                <c:pt idx="20">
                  <c:v>7.35089072945172E-16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'V. Stab &amp; V-Tail'!$R$18:$AN$18</c:f>
              <c:numCache>
                <c:ptCount val="23"/>
                <c:pt idx="0">
                  <c:v>-41</c:v>
                </c:pt>
                <c:pt idx="1">
                  <c:v>-43</c:v>
                </c:pt>
                <c:pt idx="2">
                  <c:v>-43</c:v>
                </c:pt>
                <c:pt idx="3">
                  <c:v>-43</c:v>
                </c:pt>
                <c:pt idx="4">
                  <c:v>-43</c:v>
                </c:pt>
                <c:pt idx="5">
                  <c:v>-43</c:v>
                </c:pt>
                <c:pt idx="6">
                  <c:v>-43</c:v>
                </c:pt>
                <c:pt idx="7">
                  <c:v>-43</c:v>
                </c:pt>
                <c:pt idx="8">
                  <c:v>-43</c:v>
                </c:pt>
                <c:pt idx="9">
                  <c:v>-43</c:v>
                </c:pt>
                <c:pt idx="10">
                  <c:v>-43</c:v>
                </c:pt>
                <c:pt idx="11">
                  <c:v>-43</c:v>
                </c:pt>
                <c:pt idx="12">
                  <c:v>-43</c:v>
                </c:pt>
                <c:pt idx="13">
                  <c:v>-43</c:v>
                </c:pt>
                <c:pt idx="14">
                  <c:v>-43</c:v>
                </c:pt>
                <c:pt idx="15">
                  <c:v>-43</c:v>
                </c:pt>
                <c:pt idx="16">
                  <c:v>-43</c:v>
                </c:pt>
                <c:pt idx="17">
                  <c:v>-43</c:v>
                </c:pt>
                <c:pt idx="18">
                  <c:v>-43</c:v>
                </c:pt>
                <c:pt idx="19">
                  <c:v>-43</c:v>
                </c:pt>
                <c:pt idx="20">
                  <c:v>-45.25</c:v>
                </c:pt>
                <c:pt idx="21">
                  <c:v>-47.25</c:v>
                </c:pt>
                <c:pt idx="22">
                  <c:v>-41</c:v>
                </c:pt>
              </c:numCache>
            </c:numRef>
          </c:yVal>
          <c:smooth val="0"/>
        </c:ser>
        <c:ser>
          <c:idx val="12"/>
          <c:order val="12"/>
          <c:tx>
            <c:v>Fuselage</c:v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Fuselage!$R$9:$R$49</c:f>
              <c:numCache>
                <c:ptCount val="41"/>
                <c:pt idx="0">
                  <c:v>0.1</c:v>
                </c:pt>
                <c:pt idx="1">
                  <c:v>0.75</c:v>
                </c:pt>
                <c:pt idx="2">
                  <c:v>0.8</c:v>
                </c:pt>
                <c:pt idx="3">
                  <c:v>0.75</c:v>
                </c:pt>
                <c:pt idx="4">
                  <c:v>0.3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-0.3</c:v>
                </c:pt>
                <c:pt idx="36">
                  <c:v>-0.75</c:v>
                </c:pt>
                <c:pt idx="37">
                  <c:v>-0.8</c:v>
                </c:pt>
                <c:pt idx="38">
                  <c:v>-0.75</c:v>
                </c:pt>
                <c:pt idx="39">
                  <c:v>-0.1</c:v>
                </c:pt>
                <c:pt idx="40">
                  <c:v>0.1</c:v>
                </c:pt>
              </c:numCache>
            </c:numRef>
          </c:xVal>
          <c:yVal>
            <c:numRef>
              <c:f>Fuselage!$Q$9:$Q$49</c:f>
              <c:numCache>
                <c:ptCount val="41"/>
                <c:pt idx="0">
                  <c:v>12</c:v>
                </c:pt>
                <c:pt idx="1">
                  <c:v>9</c:v>
                </c:pt>
                <c:pt idx="2">
                  <c:v>1</c:v>
                </c:pt>
                <c:pt idx="3">
                  <c:v>0</c:v>
                </c:pt>
                <c:pt idx="4">
                  <c:v>-24</c:v>
                </c:pt>
                <c:pt idx="5">
                  <c:v>-43</c:v>
                </c:pt>
                <c:pt idx="6">
                  <c:v>-43</c:v>
                </c:pt>
                <c:pt idx="7">
                  <c:v>-43</c:v>
                </c:pt>
                <c:pt idx="8">
                  <c:v>-43</c:v>
                </c:pt>
                <c:pt idx="9">
                  <c:v>-43</c:v>
                </c:pt>
                <c:pt idx="10">
                  <c:v>-43</c:v>
                </c:pt>
                <c:pt idx="11">
                  <c:v>-43</c:v>
                </c:pt>
                <c:pt idx="12">
                  <c:v>-43</c:v>
                </c:pt>
                <c:pt idx="13">
                  <c:v>-43</c:v>
                </c:pt>
                <c:pt idx="14">
                  <c:v>-43</c:v>
                </c:pt>
                <c:pt idx="15">
                  <c:v>-43</c:v>
                </c:pt>
                <c:pt idx="16">
                  <c:v>-43</c:v>
                </c:pt>
                <c:pt idx="17">
                  <c:v>-43</c:v>
                </c:pt>
                <c:pt idx="18">
                  <c:v>-43</c:v>
                </c:pt>
                <c:pt idx="19">
                  <c:v>-43</c:v>
                </c:pt>
                <c:pt idx="20">
                  <c:v>-43</c:v>
                </c:pt>
                <c:pt idx="21">
                  <c:v>-43</c:v>
                </c:pt>
                <c:pt idx="22">
                  <c:v>-43</c:v>
                </c:pt>
                <c:pt idx="23">
                  <c:v>-43</c:v>
                </c:pt>
                <c:pt idx="24">
                  <c:v>-43</c:v>
                </c:pt>
                <c:pt idx="25">
                  <c:v>-43</c:v>
                </c:pt>
                <c:pt idx="26">
                  <c:v>-43</c:v>
                </c:pt>
                <c:pt idx="27">
                  <c:v>-43</c:v>
                </c:pt>
                <c:pt idx="28">
                  <c:v>-43</c:v>
                </c:pt>
                <c:pt idx="29">
                  <c:v>-43</c:v>
                </c:pt>
                <c:pt idx="30">
                  <c:v>-43</c:v>
                </c:pt>
                <c:pt idx="31">
                  <c:v>-43</c:v>
                </c:pt>
                <c:pt idx="32">
                  <c:v>-43</c:v>
                </c:pt>
                <c:pt idx="33">
                  <c:v>-43</c:v>
                </c:pt>
                <c:pt idx="34">
                  <c:v>-43</c:v>
                </c:pt>
                <c:pt idx="35">
                  <c:v>-24</c:v>
                </c:pt>
                <c:pt idx="36">
                  <c:v>0</c:v>
                </c:pt>
                <c:pt idx="37">
                  <c:v>1</c:v>
                </c:pt>
                <c:pt idx="38">
                  <c:v>9</c:v>
                </c:pt>
                <c:pt idx="39">
                  <c:v>12</c:v>
                </c:pt>
                <c:pt idx="40">
                  <c:v>12</c:v>
                </c:pt>
              </c:numCache>
            </c:numRef>
          </c:yVal>
          <c:smooth val="0"/>
        </c:ser>
        <c:ser>
          <c:idx val="13"/>
          <c:order val="13"/>
          <c:tx>
            <c:v>IntR1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Fuselage!$D$31</c:f>
              <c:numCache>
                <c:ptCount val="1"/>
                <c:pt idx="0">
                  <c:v>0.7498205216836396</c:v>
                </c:pt>
              </c:numCache>
            </c:numRef>
          </c:xVal>
          <c:yVal>
            <c:numRef>
              <c:f>Fuselage!$C$31</c:f>
              <c:numCache>
                <c:ptCount val="1"/>
                <c:pt idx="0">
                  <c:v>-0.0095721768725571</c:v>
                </c:pt>
              </c:numCache>
            </c:numRef>
          </c:yVal>
          <c:smooth val="0"/>
        </c:ser>
        <c:ser>
          <c:idx val="14"/>
          <c:order val="14"/>
          <c:tx>
            <c:v>IntR2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Fuselage!$D$32</c:f>
              <c:numCache>
                <c:ptCount val="1"/>
                <c:pt idx="0">
                  <c:v>0.5792297559807339</c:v>
                </c:pt>
              </c:numCache>
            </c:numRef>
          </c:xVal>
          <c:yVal>
            <c:numRef>
              <c:f>Fuselage!$C$32</c:f>
              <c:numCache>
                <c:ptCount val="1"/>
                <c:pt idx="0">
                  <c:v>-9.10774634769419</c:v>
                </c:pt>
              </c:numCache>
            </c:numRef>
          </c:yVal>
          <c:smooth val="0"/>
        </c:ser>
        <c:ser>
          <c:idx val="15"/>
          <c:order val="15"/>
          <c:tx>
            <c:v>IntL1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Fuselage!$E$31</c:f>
              <c:numCache>
                <c:ptCount val="1"/>
                <c:pt idx="0">
                  <c:v>-0.7498205216836396</c:v>
                </c:pt>
              </c:numCache>
            </c:numRef>
          </c:xVal>
          <c:yVal>
            <c:numRef>
              <c:f>Fuselage!$C$31</c:f>
              <c:numCache>
                <c:ptCount val="1"/>
                <c:pt idx="0">
                  <c:v>-0.0095721768725571</c:v>
                </c:pt>
              </c:numCache>
            </c:numRef>
          </c:yVal>
          <c:smooth val="0"/>
        </c:ser>
        <c:ser>
          <c:idx val="16"/>
          <c:order val="16"/>
          <c:tx>
            <c:v>IntL2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Fuselage!$E$32</c:f>
              <c:numCache>
                <c:ptCount val="1"/>
                <c:pt idx="0">
                  <c:v>-0.5792297559807339</c:v>
                </c:pt>
              </c:numCache>
            </c:numRef>
          </c:xVal>
          <c:yVal>
            <c:numRef>
              <c:f>Fuselage!$C$32</c:f>
              <c:numCache>
                <c:ptCount val="1"/>
                <c:pt idx="0">
                  <c:v>-9.10774634769419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'Point Masses'!$F$10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'Point Masses'!$G$10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'Point Masses'!$H$10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'Point Masses'!$F$11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'Point Masses'!$G$11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'Point Masses'!$H$11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'Point Masses'!$F$12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'Point Masses'!$G$12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'Point Masses'!$H$12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'Point Masses'!$F$13</c:f>
              <c:strCache>
                <c:ptCount val="1"/>
                <c:pt idx="0">
                  <c:v>Receiver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'Point Masses'!$G$13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'Point Masses'!$H$13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'Point Masses'!$F$14</c:f>
              <c:strCache>
                <c:ptCount val="1"/>
                <c:pt idx="0">
                  <c:v>Rudder servo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'Point Masses'!$G$14</c:f>
              <c:numCache>
                <c:ptCount val="1"/>
                <c:pt idx="0">
                  <c:v>0.33</c:v>
                </c:pt>
              </c:numCache>
            </c:numRef>
          </c:xVal>
          <c:yVal>
            <c:numRef>
              <c:f>'Point Masses'!$H$14</c:f>
              <c:numCache>
                <c:ptCount val="1"/>
                <c:pt idx="0">
                  <c:v>3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'Point Masses'!$F$15</c:f>
              <c:strCache>
                <c:ptCount val="1"/>
                <c:pt idx="0">
                  <c:v>Elevator servo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'Point Masses'!$G$15</c:f>
              <c:numCache>
                <c:ptCount val="1"/>
                <c:pt idx="0">
                  <c:v>-0.33</c:v>
                </c:pt>
              </c:numCache>
            </c:numRef>
          </c:xVal>
          <c:yVal>
            <c:numRef>
              <c:f>'Point Masses'!$H$15</c:f>
              <c:numCache>
                <c:ptCount val="1"/>
                <c:pt idx="0">
                  <c:v>4.5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'Point Masses'!$F$16</c:f>
              <c:strCache>
                <c:ptCount val="1"/>
                <c:pt idx="0">
                  <c:v>Flap servo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'Point Masses'!$G$16</c:f>
              <c:numCache>
                <c:ptCount val="1"/>
                <c:pt idx="0">
                  <c:v>-12</c:v>
                </c:pt>
              </c:numCache>
            </c:numRef>
          </c:xVal>
          <c:yVal>
            <c:numRef>
              <c:f>'Point Masses'!$H$16</c:f>
              <c:numCache>
                <c:ptCount val="1"/>
                <c:pt idx="0">
                  <c:v>-4.5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'Point Masses'!$F$17</c:f>
              <c:strCache>
                <c:ptCount val="1"/>
                <c:pt idx="0">
                  <c:v>Flap servo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'Point Masses'!$G$17</c:f>
              <c:numCache>
                <c:ptCount val="1"/>
                <c:pt idx="0">
                  <c:v>12</c:v>
                </c:pt>
              </c:numCache>
            </c:numRef>
          </c:xVal>
          <c:yVal>
            <c:numRef>
              <c:f>'Point Masses'!$H$17</c:f>
              <c:numCache>
                <c:ptCount val="1"/>
                <c:pt idx="0">
                  <c:v>-4.5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'Point Masses'!$F$18</c:f>
              <c:strCache>
                <c:ptCount val="1"/>
                <c:pt idx="0">
                  <c:v>Battery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'Point Masses'!$G$18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'Point Masses'!$H$18</c:f>
              <c:numCache>
                <c:ptCount val="1"/>
                <c:pt idx="0">
                  <c:v>7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'Point Masses'!$F$19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'Point Masses'!$G$19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'Point Masses'!$H$19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'Point Masses'!$F$20</c:f>
              <c:strCache>
                <c:ptCount val="1"/>
                <c:pt idx="0">
                  <c:v>Servo Extensions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'Point Masses'!$G$20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'Point Masses'!$H$20</c:f>
              <c:numCache>
                <c:ptCount val="1"/>
                <c:pt idx="0">
                  <c:v>-4</c:v>
                </c:pt>
              </c:numCache>
            </c:numRef>
          </c:yVal>
          <c:smooth val="0"/>
        </c:ser>
        <c:ser>
          <c:idx val="37"/>
          <c:order val="28"/>
          <c:tx>
            <c:v>Center of Gravity</c:v>
          </c:tx>
          <c:spPr>
            <a:ln w="12700">
              <a:solidFill>
                <a:srgbClr val="00009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(Results!$O$40,Results!$M$41)</c:f>
              <c:numCache>
                <c:ptCount val="2"/>
                <c:pt idx="0">
                  <c:v>-63.06443513379343</c:v>
                </c:pt>
                <c:pt idx="1">
                  <c:v>68.31980472827622</c:v>
                </c:pt>
              </c:numCache>
            </c:numRef>
          </c:xVal>
          <c:yVal>
            <c:numRef>
              <c:f>(Results!$C$4,Results!$C$4)</c:f>
              <c:numCache>
                <c:ptCount val="2"/>
                <c:pt idx="0">
                  <c:v>-3.623973324526485</c:v>
                </c:pt>
                <c:pt idx="1">
                  <c:v>-3.623973324526485</c:v>
                </c:pt>
              </c:numCache>
            </c:numRef>
          </c:yVal>
          <c:smooth val="0"/>
        </c:ser>
        <c:ser>
          <c:idx val="38"/>
          <c:order val="29"/>
          <c:tx>
            <c:v>Neutral Point</c:v>
          </c:tx>
          <c:spPr>
            <a:ln w="12700">
              <a:solidFill>
                <a:srgbClr val="DD080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(Results!$M$40,Results!$O$41)</c:f>
              <c:numCache>
                <c:ptCount val="2"/>
                <c:pt idx="0">
                  <c:v>-68.31980472827622</c:v>
                </c:pt>
                <c:pt idx="1">
                  <c:v>63.06443513379343</c:v>
                </c:pt>
              </c:numCache>
            </c:numRef>
          </c:xVal>
          <c:yVal>
            <c:numRef>
              <c:f>(Results!$C$6,Results!$C$6)</c:f>
              <c:numCache>
                <c:ptCount val="2"/>
                <c:pt idx="0">
                  <c:v>-4.378760428379474</c:v>
                </c:pt>
                <c:pt idx="1">
                  <c:v>-4.378760428379474</c:v>
                </c:pt>
              </c:numCache>
            </c:numRef>
          </c:yVal>
          <c:smooth val="0"/>
        </c:ser>
        <c:ser>
          <c:idx val="28"/>
          <c:order val="30"/>
          <c:tx>
            <c:strRef>
              <c:f>'Point Masses'!$F$21</c:f>
              <c:strCache>
                <c:ptCount val="1"/>
                <c:pt idx="0">
                  <c:v>Nose Weight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'Point Masses'!$G$21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'Point Masses'!$H$21</c:f>
              <c:numCache>
                <c:ptCount val="1"/>
                <c:pt idx="0">
                  <c:v>10</c:v>
                </c:pt>
              </c:numCache>
            </c:numRef>
          </c:yVal>
          <c:smooth val="0"/>
        </c:ser>
        <c:ser>
          <c:idx val="29"/>
          <c:order val="31"/>
          <c:tx>
            <c:strRef>
              <c:f>'Point Masses'!$F$22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'Point Masses'!$G$22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'Point Masses'!$H$22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0"/>
          <c:order val="32"/>
          <c:tx>
            <c:strRef>
              <c:f>'Point Masses'!$F$23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'Point Masses'!$G$23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'Point Masses'!$H$23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1"/>
          <c:order val="33"/>
          <c:tx>
            <c:strRef>
              <c:f>'Point Masses'!$F$24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'Point Masses'!$G$24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'Point Masses'!$H$24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2"/>
          <c:order val="34"/>
          <c:tx>
            <c:strRef>
              <c:f>'Point Masses'!$F$25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'Point Masses'!$G$25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'Point Masses'!$H$25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3"/>
          <c:order val="35"/>
          <c:tx>
            <c:strRef>
              <c:f>'Point Masses'!$F$26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'Point Masses'!$G$26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'Point Masses'!$H$26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4"/>
          <c:order val="36"/>
          <c:tx>
            <c:strRef>
              <c:f>'Point Masses'!$F$27</c:f>
              <c:strCache>
                <c:ptCount val="1"/>
                <c:pt idx="0">
                  <c:v>Aileron servo 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'Point Masses'!$G$27</c:f>
              <c:numCache>
                <c:ptCount val="1"/>
                <c:pt idx="0">
                  <c:v>36</c:v>
                </c:pt>
              </c:numCache>
            </c:numRef>
          </c:xVal>
          <c:yVal>
            <c:numRef>
              <c:f>'Point Masses'!$H$27</c:f>
              <c:numCache>
                <c:ptCount val="1"/>
                <c:pt idx="0">
                  <c:v>-4.75</c:v>
                </c:pt>
              </c:numCache>
            </c:numRef>
          </c:yVal>
          <c:smooth val="0"/>
        </c:ser>
        <c:ser>
          <c:idx val="35"/>
          <c:order val="37"/>
          <c:tx>
            <c:strRef>
              <c:f>'Point Masses'!$F$28</c:f>
              <c:strCache>
                <c:ptCount val="1"/>
                <c:pt idx="0">
                  <c:v>Aileron servo 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'Point Masses'!$G$28</c:f>
              <c:numCache>
                <c:ptCount val="1"/>
                <c:pt idx="0">
                  <c:v>-36</c:v>
                </c:pt>
              </c:numCache>
            </c:numRef>
          </c:xVal>
          <c:yVal>
            <c:numRef>
              <c:f>'Point Masses'!$H$28</c:f>
              <c:numCache>
                <c:ptCount val="1"/>
                <c:pt idx="0">
                  <c:v>-4.75</c:v>
                </c:pt>
              </c:numCache>
            </c:numRef>
          </c:yVal>
          <c:smooth val="0"/>
        </c:ser>
        <c:ser>
          <c:idx val="36"/>
          <c:order val="38"/>
          <c:tx>
            <c:strRef>
              <c:f>'Point Masses'!$F$29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'Point Masses'!$G$29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'Point Masses'!$H$29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9"/>
          <c:order val="39"/>
          <c:tx>
            <c:strRef>
              <c:f>Results!$P$40</c:f>
              <c:strCache>
                <c:ptCount val="1"/>
                <c:pt idx="0">
                  <c:v>3.62</c:v>
                </c:pt>
              </c:strCache>
            </c:strRef>
          </c:tx>
          <c:spPr>
            <a:ln w="12700">
              <a:solidFill>
                <a:srgbClr val="00009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90"/>
                </a:solidFill>
                <a:prstDash val="dashDot"/>
              </a:ln>
            </c:spPr>
            <c:marker>
              <c:symbol val="triangle"/>
              <c:size val="3"/>
              <c:spPr>
                <a:solidFill>
                  <a:srgbClr val="000090"/>
                </a:solidFill>
                <a:ln>
                  <a:solidFill>
                    <a:srgbClr val="000090"/>
                  </a:solidFill>
                </a:ln>
              </c:spPr>
            </c:marker>
          </c:dP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9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(Results!$M$41,Results!$M$41,Results!$M$41)</c:f>
              <c:numCache>
                <c:ptCount val="3"/>
                <c:pt idx="0">
                  <c:v>68.31980472827622</c:v>
                </c:pt>
                <c:pt idx="1">
                  <c:v>68.31980472827622</c:v>
                </c:pt>
                <c:pt idx="2">
                  <c:v>68.31980472827622</c:v>
                </c:pt>
              </c:numCache>
            </c:numRef>
          </c:xVal>
          <c:yVal>
            <c:numRef>
              <c:f>(Results!$N$40,Results!$Q$40,Results!$C$4)</c:f>
              <c:numCache>
                <c:ptCount val="3"/>
                <c:pt idx="0">
                  <c:v>0</c:v>
                </c:pt>
                <c:pt idx="1">
                  <c:v>-1.8119866622632426</c:v>
                </c:pt>
                <c:pt idx="2">
                  <c:v>-3.623973324526485</c:v>
                </c:pt>
              </c:numCache>
            </c:numRef>
          </c:yVal>
          <c:smooth val="0"/>
        </c:ser>
        <c:ser>
          <c:idx val="40"/>
          <c:order val="40"/>
          <c:tx>
            <c:strRef>
              <c:f>Results!$P$41</c:f>
              <c:strCache>
                <c:ptCount val="1"/>
                <c:pt idx="0">
                  <c:v>4.38</c:v>
                </c:pt>
              </c:strCache>
            </c:strRef>
          </c:tx>
          <c:spPr>
            <a:ln w="12700">
              <a:solidFill>
                <a:srgbClr val="DD080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DD0806"/>
                </a:solidFill>
                <a:prstDash val="dashDot"/>
              </a:ln>
            </c:spPr>
            <c:marker>
              <c:symbol val="triangle"/>
              <c:size val="3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DD080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l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(Results!$M$40,Results!$M$40,Results!$M$40)</c:f>
              <c:numCache>
                <c:ptCount val="3"/>
                <c:pt idx="0">
                  <c:v>-68.31980472827622</c:v>
                </c:pt>
                <c:pt idx="1">
                  <c:v>-68.31980472827622</c:v>
                </c:pt>
                <c:pt idx="2">
                  <c:v>-68.31980472827622</c:v>
                </c:pt>
              </c:numCache>
            </c:numRef>
          </c:xVal>
          <c:yVal>
            <c:numRef>
              <c:f>(Results!$N$41,Results!$Q$41,Results!$C$6)</c:f>
              <c:numCache>
                <c:ptCount val="3"/>
                <c:pt idx="0">
                  <c:v>0</c:v>
                </c:pt>
                <c:pt idx="1">
                  <c:v>-2.189380214189737</c:v>
                </c:pt>
                <c:pt idx="2">
                  <c:v>-4.378760428379474</c:v>
                </c:pt>
              </c:numCache>
            </c:numRef>
          </c:yVal>
          <c:smooth val="0"/>
        </c:ser>
        <c:axId val="16159228"/>
        <c:axId val="56076621"/>
      </c:scatterChart>
      <c:valAx>
        <c:axId val="161592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crossAx val="56076621"/>
        <c:crosses val="autoZero"/>
        <c:crossBetween val="midCat"/>
        <c:dispUnits/>
      </c:valAx>
      <c:valAx>
        <c:axId val="56076621"/>
        <c:scaling>
          <c:orientation val="minMax"/>
          <c:max val="31.09293413770888"/>
          <c:min val="-77.7323353442722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crossAx val="161592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3125"/>
          <c:y val="0.91875"/>
          <c:w val="0.1687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5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2</xdr:row>
      <xdr:rowOff>85725</xdr:rowOff>
    </xdr:from>
    <xdr:to>
      <xdr:col>17</xdr:col>
      <xdr:colOff>228600</xdr:colOff>
      <xdr:row>25</xdr:row>
      <xdr:rowOff>152400</xdr:rowOff>
    </xdr:to>
    <xdr:pic>
      <xdr:nvPicPr>
        <xdr:cNvPr id="1" name="Picture 21" descr="axes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57725" y="400050"/>
          <a:ext cx="5934075" cy="4572000"/>
        </a:xfrm>
        <a:prstGeom prst="rect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</xdr:row>
      <xdr:rowOff>0</xdr:rowOff>
    </xdr:from>
    <xdr:to>
      <xdr:col>15</xdr:col>
      <xdr:colOff>333375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4314825" y="466725"/>
        <a:ext cx="63531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29</xdr:row>
      <xdr:rowOff>0</xdr:rowOff>
    </xdr:from>
    <xdr:to>
      <xdr:col>15</xdr:col>
      <xdr:colOff>333375</xdr:colOff>
      <xdr:row>49</xdr:row>
      <xdr:rowOff>0</xdr:rowOff>
    </xdr:to>
    <xdr:graphicFrame>
      <xdr:nvGraphicFramePr>
        <xdr:cNvPr id="2" name="Chart 23"/>
        <xdr:cNvGraphicFramePr/>
      </xdr:nvGraphicFramePr>
      <xdr:xfrm>
        <a:off x="4314825" y="4133850"/>
        <a:ext cx="6353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76200</xdr:colOff>
      <xdr:row>55</xdr:row>
      <xdr:rowOff>0</xdr:rowOff>
    </xdr:from>
    <xdr:to>
      <xdr:col>15</xdr:col>
      <xdr:colOff>333375</xdr:colOff>
      <xdr:row>75</xdr:row>
      <xdr:rowOff>0</xdr:rowOff>
    </xdr:to>
    <xdr:graphicFrame>
      <xdr:nvGraphicFramePr>
        <xdr:cNvPr id="3" name="Chart 28"/>
        <xdr:cNvGraphicFramePr/>
      </xdr:nvGraphicFramePr>
      <xdr:xfrm>
        <a:off x="4314825" y="4295775"/>
        <a:ext cx="6353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</xdr:row>
      <xdr:rowOff>0</xdr:rowOff>
    </xdr:from>
    <xdr:to>
      <xdr:col>15</xdr:col>
      <xdr:colOff>323850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4314825" y="466725"/>
        <a:ext cx="61531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29</xdr:row>
      <xdr:rowOff>0</xdr:rowOff>
    </xdr:from>
    <xdr:to>
      <xdr:col>15</xdr:col>
      <xdr:colOff>323850</xdr:colOff>
      <xdr:row>49</xdr:row>
      <xdr:rowOff>0</xdr:rowOff>
    </xdr:to>
    <xdr:graphicFrame>
      <xdr:nvGraphicFramePr>
        <xdr:cNvPr id="2" name="Chart 9"/>
        <xdr:cNvGraphicFramePr/>
      </xdr:nvGraphicFramePr>
      <xdr:xfrm>
        <a:off x="4314825" y="4133850"/>
        <a:ext cx="6153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</xdr:row>
      <xdr:rowOff>0</xdr:rowOff>
    </xdr:from>
    <xdr:to>
      <xdr:col>15</xdr:col>
      <xdr:colOff>333375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4314825" y="514350"/>
        <a:ext cx="63531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23</xdr:row>
      <xdr:rowOff>66675</xdr:rowOff>
    </xdr:from>
    <xdr:to>
      <xdr:col>15</xdr:col>
      <xdr:colOff>342900</xdr:colOff>
      <xdr:row>43</xdr:row>
      <xdr:rowOff>76200</xdr:rowOff>
    </xdr:to>
    <xdr:graphicFrame>
      <xdr:nvGraphicFramePr>
        <xdr:cNvPr id="2" name="Chart 6"/>
        <xdr:cNvGraphicFramePr/>
      </xdr:nvGraphicFramePr>
      <xdr:xfrm>
        <a:off x="4314825" y="3800475"/>
        <a:ext cx="63627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17</xdr:col>
      <xdr:colOff>0</xdr:colOff>
      <xdr:row>28</xdr:row>
      <xdr:rowOff>0</xdr:rowOff>
    </xdr:to>
    <xdr:graphicFrame>
      <xdr:nvGraphicFramePr>
        <xdr:cNvPr id="1" name="Chart 4"/>
        <xdr:cNvGraphicFramePr/>
      </xdr:nvGraphicFramePr>
      <xdr:xfrm>
        <a:off x="2438400" y="1543050"/>
        <a:ext cx="79248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an\LOCALS~1\Temp\Rar$DI00.828\CG_Calc03_12_02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tting Started"/>
      <sheetName val="Wings"/>
      <sheetName val="Fuselage"/>
      <sheetName val="H. Stab &amp; Canard"/>
      <sheetName val="V. Stab &amp; V-Tail"/>
      <sheetName val="Weights"/>
      <sheetName val="Point Masses"/>
      <sheetName val="Top View"/>
      <sheetName val="Results"/>
      <sheetName val="Credits"/>
    </sheetNames>
    <sheetDataSet>
      <sheetData sheetId="4">
        <row r="42">
          <cell r="I42">
            <v>-28.89798040049221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31"/>
  <sheetViews>
    <sheetView showGridLines="0" workbookViewId="0" topLeftCell="A1">
      <selection activeCell="E8" sqref="E8"/>
    </sheetView>
  </sheetViews>
  <sheetFormatPr defaultColWidth="9.140625" defaultRowHeight="12.75"/>
  <cols>
    <col min="1" max="16384" width="9.140625" style="3" customWidth="1"/>
  </cols>
  <sheetData>
    <row r="1" spans="1:4" ht="12.75">
      <c r="A1" s="75" t="s">
        <v>53</v>
      </c>
      <c r="D1" s="3" t="s">
        <v>126</v>
      </c>
    </row>
    <row r="2" spans="5:9" ht="12">
      <c r="E2" s="43"/>
      <c r="F2" s="43"/>
      <c r="G2" s="43"/>
      <c r="H2" s="43"/>
      <c r="I2" s="43"/>
    </row>
    <row r="3" spans="1:9" ht="12.75">
      <c r="A3" s="37" t="s">
        <v>57</v>
      </c>
      <c r="E3" s="43"/>
      <c r="F3" s="43"/>
      <c r="G3" s="43"/>
      <c r="H3" s="43"/>
      <c r="I3" s="43"/>
    </row>
    <row r="4" spans="2:9" ht="19.5" customHeight="1">
      <c r="B4" s="76" t="s">
        <v>62</v>
      </c>
      <c r="E4" s="43"/>
      <c r="F4" s="43"/>
      <c r="G4" s="26">
        <v>1</v>
      </c>
      <c r="H4" s="26"/>
      <c r="I4" s="43"/>
    </row>
    <row r="5" spans="2:9" ht="19.5" customHeight="1">
      <c r="B5" s="76" t="s">
        <v>63</v>
      </c>
      <c r="E5" s="43"/>
      <c r="F5" s="43"/>
      <c r="G5" s="27">
        <f>G4</f>
        <v>1</v>
      </c>
      <c r="H5" s="26"/>
      <c r="I5" s="43"/>
    </row>
    <row r="6" spans="2:9" ht="19.5" customHeight="1">
      <c r="B6" s="76" t="s">
        <v>64</v>
      </c>
      <c r="E6" s="43"/>
      <c r="F6" s="43"/>
      <c r="G6" s="26"/>
      <c r="H6" s="26"/>
      <c r="I6" s="43"/>
    </row>
    <row r="7" spans="5:9" ht="12.75">
      <c r="E7" s="43"/>
      <c r="F7" s="43"/>
      <c r="G7" s="26"/>
      <c r="H7" s="26"/>
      <c r="I7" s="43"/>
    </row>
    <row r="8" spans="1:9" ht="19.5" customHeight="1">
      <c r="A8" s="37" t="s">
        <v>69</v>
      </c>
      <c r="E8" s="43"/>
      <c r="F8" s="43"/>
      <c r="G8" s="26"/>
      <c r="H8" s="26"/>
      <c r="I8" s="43"/>
    </row>
    <row r="9" spans="2:9" ht="19.5" customHeight="1">
      <c r="B9" s="76" t="s">
        <v>34</v>
      </c>
      <c r="E9" s="43"/>
      <c r="F9" s="43"/>
      <c r="G9" s="26" t="b">
        <v>1</v>
      </c>
      <c r="H9" s="27" t="b">
        <f>G9</f>
        <v>1</v>
      </c>
      <c r="I9" s="43"/>
    </row>
    <row r="10" spans="2:9" ht="19.5" customHeight="1">
      <c r="B10" s="76" t="s">
        <v>35</v>
      </c>
      <c r="E10" s="43"/>
      <c r="F10" s="43"/>
      <c r="G10" s="26" t="b">
        <v>0</v>
      </c>
      <c r="H10" s="27" t="b">
        <f>G10</f>
        <v>0</v>
      </c>
      <c r="I10" s="43"/>
    </row>
    <row r="11" spans="2:9" ht="19.5" customHeight="1">
      <c r="B11" s="76" t="s">
        <v>65</v>
      </c>
      <c r="E11" s="43"/>
      <c r="F11" s="43"/>
      <c r="G11" s="26" t="b">
        <v>1</v>
      </c>
      <c r="H11" s="27" t="b">
        <f>G11</f>
        <v>1</v>
      </c>
      <c r="I11" s="43"/>
    </row>
    <row r="12" spans="5:9" ht="12.75">
      <c r="E12" s="43"/>
      <c r="F12" s="43"/>
      <c r="G12" s="26"/>
      <c r="H12" s="26"/>
      <c r="I12" s="43"/>
    </row>
    <row r="13" spans="1:9" ht="12.75">
      <c r="A13" s="37" t="s">
        <v>66</v>
      </c>
      <c r="E13" s="43"/>
      <c r="F13" s="43"/>
      <c r="G13" s="26"/>
      <c r="H13" s="26"/>
      <c r="I13" s="43"/>
    </row>
    <row r="14" spans="2:9" ht="19.5" customHeight="1">
      <c r="B14" s="76" t="s">
        <v>67</v>
      </c>
      <c r="E14" s="43"/>
      <c r="F14" s="43"/>
      <c r="G14" s="26">
        <v>1</v>
      </c>
      <c r="H14" s="26"/>
      <c r="I14" s="43"/>
    </row>
    <row r="15" spans="2:9" ht="19.5" customHeight="1">
      <c r="B15" s="76" t="s">
        <v>68</v>
      </c>
      <c r="E15" s="43"/>
      <c r="F15" s="43"/>
      <c r="G15" s="27">
        <f>G14</f>
        <v>1</v>
      </c>
      <c r="H15" s="26"/>
      <c r="I15" s="43"/>
    </row>
    <row r="16" spans="5:9" ht="12.75">
      <c r="E16" s="43"/>
      <c r="F16" s="43"/>
      <c r="G16" s="26"/>
      <c r="H16" s="26"/>
      <c r="I16" s="43"/>
    </row>
    <row r="17" spans="1:9" ht="12.75">
      <c r="A17" s="37" t="s">
        <v>233</v>
      </c>
      <c r="E17" s="43"/>
      <c r="F17" s="43"/>
      <c r="G17" s="26"/>
      <c r="H17" s="26"/>
      <c r="I17" s="43"/>
    </row>
    <row r="18" spans="2:9" ht="12.75" customHeight="1">
      <c r="B18" s="108" t="s">
        <v>234</v>
      </c>
      <c r="C18" s="108"/>
      <c r="D18" s="108"/>
      <c r="E18" s="43"/>
      <c r="F18" s="43"/>
      <c r="G18" s="26" t="b">
        <v>0</v>
      </c>
      <c r="H18" s="27" t="b">
        <f>G18</f>
        <v>0</v>
      </c>
      <c r="I18" s="43"/>
    </row>
    <row r="19" spans="2:9" ht="12.75">
      <c r="B19" s="108"/>
      <c r="C19" s="108"/>
      <c r="D19" s="108"/>
      <c r="E19" s="43"/>
      <c r="F19" s="43"/>
      <c r="G19" s="43"/>
      <c r="H19" s="43"/>
      <c r="I19" s="43"/>
    </row>
    <row r="20" spans="2:9" ht="12.75">
      <c r="B20" s="98" t="s">
        <v>235</v>
      </c>
      <c r="E20" s="43"/>
      <c r="F20" s="43"/>
      <c r="G20" s="43"/>
      <c r="H20" s="43"/>
      <c r="I20" s="43"/>
    </row>
    <row r="21" spans="2:9" ht="12.75">
      <c r="B21" s="98" t="s">
        <v>236</v>
      </c>
      <c r="E21" s="43"/>
      <c r="F21" s="43"/>
      <c r="G21" s="43"/>
      <c r="H21" s="43"/>
      <c r="I21" s="43"/>
    </row>
    <row r="22" spans="5:9" ht="12.75">
      <c r="E22" s="43"/>
      <c r="F22" s="43"/>
      <c r="G22" s="43"/>
      <c r="H22" s="43"/>
      <c r="I22" s="43"/>
    </row>
    <row r="23" spans="1:9" ht="12.75">
      <c r="A23" s="37" t="s">
        <v>70</v>
      </c>
      <c r="E23" s="43"/>
      <c r="F23" s="43"/>
      <c r="G23" s="43"/>
      <c r="H23" s="43"/>
      <c r="I23" s="43"/>
    </row>
    <row r="24" spans="1:8" ht="12.75">
      <c r="A24" s="3" t="s">
        <v>73</v>
      </c>
      <c r="H24" s="26"/>
    </row>
    <row r="25" spans="1:3" ht="12.75">
      <c r="A25" s="3" t="s">
        <v>74</v>
      </c>
      <c r="C25" s="40"/>
    </row>
    <row r="26" spans="1:4" ht="12.75">
      <c r="A26" s="77" t="s">
        <v>71</v>
      </c>
      <c r="B26" s="77"/>
      <c r="C26" s="77"/>
      <c r="D26" s="40"/>
    </row>
    <row r="27" spans="1:10" ht="12.75">
      <c r="A27" s="78" t="s">
        <v>72</v>
      </c>
      <c r="B27" s="78"/>
      <c r="C27" s="78"/>
      <c r="D27" s="78"/>
      <c r="J27" s="3" t="s">
        <v>76</v>
      </c>
    </row>
    <row r="28" spans="1:10" ht="12">
      <c r="A28" s="3" t="s">
        <v>203</v>
      </c>
      <c r="J28" s="3" t="s">
        <v>75</v>
      </c>
    </row>
    <row r="29" ht="12">
      <c r="A29" s="3" t="s">
        <v>204</v>
      </c>
    </row>
    <row r="30" ht="12">
      <c r="A30" s="3" t="s">
        <v>205</v>
      </c>
    </row>
    <row r="31" ht="12">
      <c r="A31" s="3" t="s">
        <v>239</v>
      </c>
    </row>
  </sheetData>
  <sheetProtection/>
  <mergeCells count="1">
    <mergeCell ref="B18:D19"/>
  </mergeCells>
  <printOptions/>
  <pageMargins left="0.75" right="0.75" top="1" bottom="1" header="0.5" footer="0.5"/>
  <pageSetup horizontalDpi="600" verticalDpi="600" orientation="portrait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N77"/>
  <sheetViews>
    <sheetView showGridLines="0" workbookViewId="0" topLeftCell="A2">
      <selection activeCell="E12" sqref="E12"/>
    </sheetView>
  </sheetViews>
  <sheetFormatPr defaultColWidth="9.140625" defaultRowHeight="12.75" outlineLevelRow="1"/>
  <cols>
    <col min="1" max="1" width="12.7109375" style="3" bestFit="1" customWidth="1"/>
    <col min="2" max="5" width="12.7109375" style="3" customWidth="1"/>
    <col min="6" max="16384" width="9.140625" style="3" customWidth="1"/>
  </cols>
  <sheetData>
    <row r="1" ht="12.75">
      <c r="A1" s="2" t="s">
        <v>0</v>
      </c>
    </row>
    <row r="2" spans="17:28" ht="12" outlineLevel="1">
      <c r="Q2" s="4" t="s">
        <v>23</v>
      </c>
      <c r="R2" s="5"/>
      <c r="S2" s="5"/>
      <c r="T2" s="4" t="s">
        <v>24</v>
      </c>
      <c r="W2" s="6"/>
      <c r="X2" s="6" t="s">
        <v>33</v>
      </c>
      <c r="Y2" s="6"/>
      <c r="Z2" s="6"/>
      <c r="AA2" s="6"/>
      <c r="AB2" s="6"/>
    </row>
    <row r="3" spans="1:28" ht="12" outlineLevel="1">
      <c r="A3" s="7" t="s">
        <v>8</v>
      </c>
      <c r="E3" s="8"/>
      <c r="Q3" s="9" t="s">
        <v>22</v>
      </c>
      <c r="R3" s="9" t="s">
        <v>20</v>
      </c>
      <c r="S3" s="9" t="s">
        <v>21</v>
      </c>
      <c r="T3" s="9" t="s">
        <v>22</v>
      </c>
      <c r="U3" s="9" t="s">
        <v>20</v>
      </c>
      <c r="V3" s="9" t="s">
        <v>21</v>
      </c>
      <c r="W3" s="10"/>
      <c r="X3" s="9" t="s">
        <v>22</v>
      </c>
      <c r="Y3" s="9" t="s">
        <v>20</v>
      </c>
      <c r="Z3" s="9" t="s">
        <v>21</v>
      </c>
      <c r="AA3" s="10"/>
      <c r="AB3" s="10"/>
    </row>
    <row r="4" spans="1:28" ht="12" outlineLevel="1">
      <c r="A4" s="11" t="s">
        <v>1</v>
      </c>
      <c r="B4" s="11" t="s">
        <v>2</v>
      </c>
      <c r="C4" s="11" t="s">
        <v>25</v>
      </c>
      <c r="E4" s="9" t="s">
        <v>28</v>
      </c>
      <c r="Q4" s="11">
        <v>1</v>
      </c>
      <c r="R4" s="18">
        <f>C5</f>
        <v>0</v>
      </c>
      <c r="S4" s="18">
        <f>B5</f>
        <v>0</v>
      </c>
      <c r="T4" s="11">
        <v>1</v>
      </c>
      <c r="U4" s="18">
        <f>C5-A5</f>
        <v>-9.125</v>
      </c>
      <c r="V4" s="18">
        <f>S4</f>
        <v>0</v>
      </c>
      <c r="W4" s="6"/>
      <c r="X4" s="11">
        <v>1</v>
      </c>
      <c r="Y4" s="18">
        <f>B24</f>
        <v>27.063111402111506</v>
      </c>
      <c r="Z4" s="18">
        <f>B23+0.5*B25</f>
        <v>-0.6352520796463414</v>
      </c>
      <c r="AA4" s="6"/>
      <c r="AB4" s="6"/>
    </row>
    <row r="5" spans="1:28" ht="12" outlineLevel="1">
      <c r="A5" s="12">
        <v>9.125</v>
      </c>
      <c r="B5" s="12">
        <v>0</v>
      </c>
      <c r="C5" s="12">
        <v>0</v>
      </c>
      <c r="E5" s="12">
        <v>4</v>
      </c>
      <c r="Q5" s="11">
        <v>2</v>
      </c>
      <c r="R5" s="18">
        <f>R4-D8</f>
        <v>-0.3</v>
      </c>
      <c r="S5" s="18">
        <f>S4+C8*COS(E8*PI()/180)</f>
        <v>23.5</v>
      </c>
      <c r="T5" s="11">
        <v>2</v>
      </c>
      <c r="U5" s="18">
        <f>R5-B8</f>
        <v>-8.425</v>
      </c>
      <c r="V5" s="18">
        <f aca="true" t="shared" si="0" ref="V5:V14">S5</f>
        <v>23.5</v>
      </c>
      <c r="W5" s="6"/>
      <c r="X5" s="11">
        <v>2</v>
      </c>
      <c r="Y5" s="18">
        <f>B24</f>
        <v>27.063111402111506</v>
      </c>
      <c r="Z5" s="18">
        <f>D20</f>
        <v>-2.5049674626356615</v>
      </c>
      <c r="AA5" s="6"/>
      <c r="AB5" s="6"/>
    </row>
    <row r="6" spans="17:28" ht="12" outlineLevel="1">
      <c r="Q6" s="11">
        <v>3</v>
      </c>
      <c r="R6" s="18">
        <f aca="true" t="shared" si="1" ref="R6:R14">R5-D9</f>
        <v>-1.1</v>
      </c>
      <c r="S6" s="18">
        <f aca="true" t="shared" si="2" ref="S6:S14">S5+C9*COS(E9*PI()/180)</f>
        <v>48.5</v>
      </c>
      <c r="T6" s="11">
        <v>3</v>
      </c>
      <c r="U6" s="18">
        <f aca="true" t="shared" si="3" ref="U6:U14">R6-B9</f>
        <v>-7.225</v>
      </c>
      <c r="V6" s="18">
        <f t="shared" si="0"/>
        <v>48.5</v>
      </c>
      <c r="W6" s="6"/>
      <c r="X6" s="11">
        <v>3</v>
      </c>
      <c r="Y6" s="18">
        <f>B24</f>
        <v>27.063111402111506</v>
      </c>
      <c r="Z6" s="18">
        <f>B23-0.5*B25</f>
        <v>-8.11411361160362</v>
      </c>
      <c r="AA6" s="6"/>
      <c r="AB6" s="6"/>
    </row>
    <row r="7" spans="1:28" ht="12" outlineLevel="1">
      <c r="A7" s="13" t="s">
        <v>3</v>
      </c>
      <c r="B7" s="14" t="s">
        <v>4</v>
      </c>
      <c r="C7" s="14" t="s">
        <v>5</v>
      </c>
      <c r="D7" s="14" t="s">
        <v>6</v>
      </c>
      <c r="E7" s="14" t="s">
        <v>7</v>
      </c>
      <c r="Q7" s="11">
        <v>4</v>
      </c>
      <c r="R7" s="18">
        <f t="shared" si="1"/>
        <v>-3.1</v>
      </c>
      <c r="S7" s="18">
        <f t="shared" si="2"/>
        <v>60.47076860311789</v>
      </c>
      <c r="T7" s="11">
        <v>4</v>
      </c>
      <c r="U7" s="18">
        <f t="shared" si="3"/>
        <v>-6.1</v>
      </c>
      <c r="V7" s="18">
        <f t="shared" si="0"/>
        <v>60.47076860311789</v>
      </c>
      <c r="W7" s="6"/>
      <c r="X7" s="6"/>
      <c r="Y7" s="6"/>
      <c r="Z7" s="6"/>
      <c r="AA7" s="6"/>
      <c r="AB7" s="6"/>
    </row>
    <row r="8" spans="1:28" ht="12" outlineLevel="1">
      <c r="A8" s="11">
        <v>1</v>
      </c>
      <c r="B8" s="12">
        <v>8.125</v>
      </c>
      <c r="C8" s="12">
        <v>23.5</v>
      </c>
      <c r="D8" s="12">
        <v>0.3</v>
      </c>
      <c r="E8" s="12">
        <v>0</v>
      </c>
      <c r="Q8" s="11">
        <v>5</v>
      </c>
      <c r="R8" s="18">
        <f t="shared" si="1"/>
        <v>-4.1</v>
      </c>
      <c r="S8" s="18">
        <f t="shared" si="2"/>
        <v>63.06443513379343</v>
      </c>
      <c r="T8" s="11">
        <v>5</v>
      </c>
      <c r="U8" s="18">
        <f t="shared" si="3"/>
        <v>-5.6</v>
      </c>
      <c r="V8" s="18">
        <f t="shared" si="0"/>
        <v>63.06443513379343</v>
      </c>
      <c r="W8" s="6"/>
      <c r="X8" s="6"/>
      <c r="Y8" s="6"/>
      <c r="Z8" s="6"/>
      <c r="AA8" s="6"/>
      <c r="AB8" s="6"/>
    </row>
    <row r="9" spans="1:28" ht="12" outlineLevel="1">
      <c r="A9" s="11">
        <v>1</v>
      </c>
      <c r="B9" s="12">
        <v>6.125</v>
      </c>
      <c r="C9" s="12">
        <v>25</v>
      </c>
      <c r="D9" s="12">
        <v>0.8</v>
      </c>
      <c r="E9" s="12">
        <v>0</v>
      </c>
      <c r="Q9" s="11">
        <v>6</v>
      </c>
      <c r="R9" s="18">
        <f t="shared" si="1"/>
        <v>-4.1</v>
      </c>
      <c r="S9" s="18">
        <f t="shared" si="2"/>
        <v>63.06443513379343</v>
      </c>
      <c r="T9" s="11">
        <v>6</v>
      </c>
      <c r="U9" s="18">
        <f t="shared" si="3"/>
        <v>-4.1</v>
      </c>
      <c r="V9" s="18">
        <f t="shared" si="0"/>
        <v>63.06443513379343</v>
      </c>
      <c r="W9" s="6"/>
      <c r="X9" s="6"/>
      <c r="Y9" s="6"/>
      <c r="Z9" s="6"/>
      <c r="AA9" s="6"/>
      <c r="AB9" s="6"/>
    </row>
    <row r="10" spans="1:28" ht="12" outlineLevel="1">
      <c r="A10" s="15">
        <v>2</v>
      </c>
      <c r="B10" s="15">
        <v>3</v>
      </c>
      <c r="C10" s="15">
        <v>12</v>
      </c>
      <c r="D10" s="15">
        <v>2</v>
      </c>
      <c r="E10" s="15">
        <v>4</v>
      </c>
      <c r="Q10" s="11">
        <v>7</v>
      </c>
      <c r="R10" s="18">
        <f t="shared" si="1"/>
        <v>-4.1</v>
      </c>
      <c r="S10" s="18">
        <f t="shared" si="2"/>
        <v>63.06443513379343</v>
      </c>
      <c r="T10" s="11">
        <v>7</v>
      </c>
      <c r="U10" s="18">
        <f t="shared" si="3"/>
        <v>-4.1</v>
      </c>
      <c r="V10" s="18">
        <f t="shared" si="0"/>
        <v>63.06443513379343</v>
      </c>
      <c r="W10" s="6"/>
      <c r="X10" s="6"/>
      <c r="Y10" s="6"/>
      <c r="Z10" s="6"/>
      <c r="AA10" s="6"/>
      <c r="AB10" s="6"/>
    </row>
    <row r="11" spans="1:28" ht="12" outlineLevel="1">
      <c r="A11" s="15">
        <v>3</v>
      </c>
      <c r="B11" s="15">
        <v>1.5</v>
      </c>
      <c r="C11" s="15">
        <v>2.6</v>
      </c>
      <c r="D11" s="15">
        <v>1</v>
      </c>
      <c r="E11" s="15">
        <v>4</v>
      </c>
      <c r="Q11" s="11">
        <v>8</v>
      </c>
      <c r="R11" s="18">
        <f t="shared" si="1"/>
        <v>-4.1</v>
      </c>
      <c r="S11" s="18">
        <f t="shared" si="2"/>
        <v>63.06443513379343</v>
      </c>
      <c r="T11" s="11">
        <v>8</v>
      </c>
      <c r="U11" s="18">
        <f t="shared" si="3"/>
        <v>-4.1</v>
      </c>
      <c r="V11" s="18">
        <f t="shared" si="0"/>
        <v>63.06443513379343</v>
      </c>
      <c r="W11" s="6"/>
      <c r="X11" s="6"/>
      <c r="Y11" s="6"/>
      <c r="Z11" s="6"/>
      <c r="AA11" s="6"/>
      <c r="AB11" s="6"/>
    </row>
    <row r="12" spans="1:28" ht="12" outlineLevel="1">
      <c r="A12" s="15"/>
      <c r="B12" s="15"/>
      <c r="C12" s="15"/>
      <c r="D12" s="15"/>
      <c r="E12" s="15"/>
      <c r="Q12" s="11">
        <v>9</v>
      </c>
      <c r="R12" s="18">
        <f t="shared" si="1"/>
        <v>-4.1</v>
      </c>
      <c r="S12" s="18">
        <f t="shared" si="2"/>
        <v>63.06443513379343</v>
      </c>
      <c r="T12" s="11">
        <v>9</v>
      </c>
      <c r="U12" s="18">
        <f t="shared" si="3"/>
        <v>-4.1</v>
      </c>
      <c r="V12" s="18">
        <f t="shared" si="0"/>
        <v>63.06443513379343</v>
      </c>
      <c r="W12" s="6"/>
      <c r="X12" s="6"/>
      <c r="Y12" s="6"/>
      <c r="Z12" s="6"/>
      <c r="AA12" s="6"/>
      <c r="AB12" s="6"/>
    </row>
    <row r="13" spans="1:28" ht="12" outlineLevel="1">
      <c r="A13" s="15"/>
      <c r="B13" s="15"/>
      <c r="C13" s="15"/>
      <c r="D13" s="15"/>
      <c r="E13" s="15"/>
      <c r="Q13" s="11">
        <v>10</v>
      </c>
      <c r="R13" s="18">
        <f t="shared" si="1"/>
        <v>-4.1</v>
      </c>
      <c r="S13" s="18">
        <f t="shared" si="2"/>
        <v>63.06443513379343</v>
      </c>
      <c r="T13" s="11">
        <v>10</v>
      </c>
      <c r="U13" s="18">
        <f t="shared" si="3"/>
        <v>-4.1</v>
      </c>
      <c r="V13" s="18">
        <f t="shared" si="0"/>
        <v>63.06443513379343</v>
      </c>
      <c r="W13" s="6"/>
      <c r="X13" s="6"/>
      <c r="Y13" s="6"/>
      <c r="Z13" s="6"/>
      <c r="AA13" s="6"/>
      <c r="AB13" s="6"/>
    </row>
    <row r="14" spans="1:28" ht="12" outlineLevel="1">
      <c r="A14" s="15"/>
      <c r="B14" s="15"/>
      <c r="C14" s="15"/>
      <c r="D14" s="15"/>
      <c r="E14" s="15"/>
      <c r="Q14" s="11">
        <v>11</v>
      </c>
      <c r="R14" s="18">
        <f t="shared" si="1"/>
        <v>-4.1</v>
      </c>
      <c r="S14" s="18">
        <f t="shared" si="2"/>
        <v>63.06443513379343</v>
      </c>
      <c r="T14" s="11">
        <v>11</v>
      </c>
      <c r="U14" s="18">
        <f t="shared" si="3"/>
        <v>-4.1</v>
      </c>
      <c r="V14" s="18">
        <f t="shared" si="0"/>
        <v>63.06443513379343</v>
      </c>
      <c r="W14" s="6"/>
      <c r="X14" s="6"/>
      <c r="Y14" s="6"/>
      <c r="Z14" s="6"/>
      <c r="AA14" s="6"/>
      <c r="AB14" s="6"/>
    </row>
    <row r="15" spans="1:5" ht="12" outlineLevel="1">
      <c r="A15" s="15"/>
      <c r="B15" s="15"/>
      <c r="C15" s="15"/>
      <c r="D15" s="15"/>
      <c r="E15" s="15"/>
    </row>
    <row r="16" spans="1:17" ht="12" outlineLevel="1">
      <c r="A16" s="15"/>
      <c r="B16" s="15"/>
      <c r="C16" s="15"/>
      <c r="D16" s="15"/>
      <c r="E16" s="15"/>
      <c r="Q16" s="3" t="s">
        <v>26</v>
      </c>
    </row>
    <row r="17" spans="1:40" ht="12" outlineLevel="1">
      <c r="A17" s="15"/>
      <c r="B17" s="15"/>
      <c r="C17" s="15"/>
      <c r="D17" s="15"/>
      <c r="E17" s="15"/>
      <c r="Q17" s="9" t="s">
        <v>22</v>
      </c>
      <c r="R17" s="11">
        <v>1</v>
      </c>
      <c r="S17" s="11">
        <v>2</v>
      </c>
      <c r="T17" s="11">
        <v>3</v>
      </c>
      <c r="U17" s="11">
        <v>4</v>
      </c>
      <c r="V17" s="11">
        <v>5</v>
      </c>
      <c r="W17" s="11">
        <v>6</v>
      </c>
      <c r="X17" s="11">
        <v>7</v>
      </c>
      <c r="Y17" s="11">
        <v>8</v>
      </c>
      <c r="Z17" s="11">
        <v>9</v>
      </c>
      <c r="AA17" s="11">
        <v>10</v>
      </c>
      <c r="AB17" s="11">
        <v>11</v>
      </c>
      <c r="AC17" s="11">
        <v>11</v>
      </c>
      <c r="AD17" s="11">
        <v>10</v>
      </c>
      <c r="AE17" s="11">
        <v>9</v>
      </c>
      <c r="AF17" s="11">
        <v>8</v>
      </c>
      <c r="AG17" s="11">
        <v>7</v>
      </c>
      <c r="AH17" s="11">
        <v>6</v>
      </c>
      <c r="AI17" s="11">
        <v>5</v>
      </c>
      <c r="AJ17" s="11">
        <v>4</v>
      </c>
      <c r="AK17" s="11">
        <v>3</v>
      </c>
      <c r="AL17" s="11">
        <v>2</v>
      </c>
      <c r="AM17" s="11">
        <v>1</v>
      </c>
      <c r="AN17" s="11">
        <v>1</v>
      </c>
    </row>
    <row r="18" spans="17:40" ht="12" outlineLevel="1">
      <c r="Q18" s="16" t="s">
        <v>20</v>
      </c>
      <c r="R18" s="18">
        <f>R4</f>
        <v>0</v>
      </c>
      <c r="S18" s="18">
        <f>R5</f>
        <v>-0.3</v>
      </c>
      <c r="T18" s="18">
        <f>R6</f>
        <v>-1.1</v>
      </c>
      <c r="U18" s="18">
        <f>R7</f>
        <v>-3.1</v>
      </c>
      <c r="V18" s="18">
        <f>R8</f>
        <v>-4.1</v>
      </c>
      <c r="W18" s="18">
        <f>R9</f>
        <v>-4.1</v>
      </c>
      <c r="X18" s="18">
        <f>R10</f>
        <v>-4.1</v>
      </c>
      <c r="Y18" s="18">
        <f>R11</f>
        <v>-4.1</v>
      </c>
      <c r="Z18" s="18">
        <f>R12</f>
        <v>-4.1</v>
      </c>
      <c r="AA18" s="18">
        <f>R13</f>
        <v>-4.1</v>
      </c>
      <c r="AB18" s="18">
        <f>R14</f>
        <v>-4.1</v>
      </c>
      <c r="AC18" s="18">
        <f>U14</f>
        <v>-4.1</v>
      </c>
      <c r="AD18" s="18">
        <f>U13</f>
        <v>-4.1</v>
      </c>
      <c r="AE18" s="18">
        <f>U12</f>
        <v>-4.1</v>
      </c>
      <c r="AF18" s="18">
        <f>U11</f>
        <v>-4.1</v>
      </c>
      <c r="AG18" s="18">
        <f>U10</f>
        <v>-4.1</v>
      </c>
      <c r="AH18" s="18">
        <f>U9</f>
        <v>-4.1</v>
      </c>
      <c r="AI18" s="18">
        <f>U8</f>
        <v>-5.6</v>
      </c>
      <c r="AJ18" s="18">
        <f>U7</f>
        <v>-6.1</v>
      </c>
      <c r="AK18" s="18">
        <f>U6</f>
        <v>-7.225</v>
      </c>
      <c r="AL18" s="18">
        <f>U5</f>
        <v>-8.425</v>
      </c>
      <c r="AM18" s="18">
        <f>U4</f>
        <v>-9.125</v>
      </c>
      <c r="AN18" s="18">
        <f>R4</f>
        <v>0</v>
      </c>
    </row>
    <row r="19" spans="1:40" ht="12" outlineLevel="1">
      <c r="A19" s="7" t="s">
        <v>9</v>
      </c>
      <c r="Q19" s="9" t="s">
        <v>21</v>
      </c>
      <c r="R19" s="18">
        <f>S4</f>
        <v>0</v>
      </c>
      <c r="S19" s="18">
        <f>S5</f>
        <v>23.5</v>
      </c>
      <c r="T19" s="18">
        <f>S6</f>
        <v>48.5</v>
      </c>
      <c r="U19" s="18">
        <f>S7</f>
        <v>60.47076860311789</v>
      </c>
      <c r="V19" s="18">
        <f>S8</f>
        <v>63.06443513379343</v>
      </c>
      <c r="W19" s="18">
        <f>S9</f>
        <v>63.06443513379343</v>
      </c>
      <c r="X19" s="18">
        <f>S10</f>
        <v>63.06443513379343</v>
      </c>
      <c r="Y19" s="18">
        <f>S11</f>
        <v>63.06443513379343</v>
      </c>
      <c r="Z19" s="18">
        <f>S12</f>
        <v>63.06443513379343</v>
      </c>
      <c r="AA19" s="18">
        <f>S13</f>
        <v>63.06443513379343</v>
      </c>
      <c r="AB19" s="18">
        <f>S14</f>
        <v>63.06443513379343</v>
      </c>
      <c r="AC19" s="18">
        <f>V14</f>
        <v>63.06443513379343</v>
      </c>
      <c r="AD19" s="18">
        <f>V13</f>
        <v>63.06443513379343</v>
      </c>
      <c r="AE19" s="18">
        <f>V12</f>
        <v>63.06443513379343</v>
      </c>
      <c r="AF19" s="18">
        <f>V11</f>
        <v>63.06443513379343</v>
      </c>
      <c r="AG19" s="18">
        <f>V10</f>
        <v>63.06443513379343</v>
      </c>
      <c r="AH19" s="18">
        <f>V9</f>
        <v>63.06443513379343</v>
      </c>
      <c r="AI19" s="18">
        <f>V8</f>
        <v>63.06443513379343</v>
      </c>
      <c r="AJ19" s="18">
        <f>V7</f>
        <v>60.47076860311789</v>
      </c>
      <c r="AK19" s="18">
        <f>V6</f>
        <v>48.5</v>
      </c>
      <c r="AL19" s="18">
        <f>V5</f>
        <v>23.5</v>
      </c>
      <c r="AM19" s="18">
        <f>V4</f>
        <v>0</v>
      </c>
      <c r="AN19" s="18">
        <f>S4</f>
        <v>0</v>
      </c>
    </row>
    <row r="20" spans="1:17" ht="12" outlineLevel="1">
      <c r="A20" s="11" t="s">
        <v>10</v>
      </c>
      <c r="B20" s="17">
        <v>126.12887026758686</v>
      </c>
      <c r="C20" s="11" t="s">
        <v>16</v>
      </c>
      <c r="D20" s="17">
        <v>-2.5049674626356615</v>
      </c>
      <c r="Q20" s="3" t="s">
        <v>27</v>
      </c>
    </row>
    <row r="21" spans="1:40" ht="12" outlineLevel="1">
      <c r="A21" s="11" t="s">
        <v>11</v>
      </c>
      <c r="B21" s="17">
        <v>882.5297628914905</v>
      </c>
      <c r="C21" s="11" t="s">
        <v>30</v>
      </c>
      <c r="D21" s="17">
        <v>0.2603336002108898</v>
      </c>
      <c r="Q21" s="9" t="s">
        <v>22</v>
      </c>
      <c r="R21" s="11">
        <v>1</v>
      </c>
      <c r="S21" s="11">
        <v>2</v>
      </c>
      <c r="T21" s="11">
        <v>3</v>
      </c>
      <c r="U21" s="11">
        <v>4</v>
      </c>
      <c r="V21" s="11">
        <v>5</v>
      </c>
      <c r="W21" s="11">
        <v>6</v>
      </c>
      <c r="X21" s="11">
        <v>7</v>
      </c>
      <c r="Y21" s="11">
        <v>8</v>
      </c>
      <c r="Z21" s="11">
        <v>9</v>
      </c>
      <c r="AA21" s="11">
        <v>10</v>
      </c>
      <c r="AB21" s="11">
        <v>11</v>
      </c>
      <c r="AC21" s="11">
        <v>11</v>
      </c>
      <c r="AD21" s="11">
        <v>10</v>
      </c>
      <c r="AE21" s="11">
        <v>9</v>
      </c>
      <c r="AF21" s="11">
        <v>8</v>
      </c>
      <c r="AG21" s="11">
        <v>7</v>
      </c>
      <c r="AH21" s="11">
        <v>6</v>
      </c>
      <c r="AI21" s="11">
        <v>5</v>
      </c>
      <c r="AJ21" s="11">
        <v>4</v>
      </c>
      <c r="AK21" s="11">
        <v>3</v>
      </c>
      <c r="AL21" s="11">
        <v>2</v>
      </c>
      <c r="AM21" s="11">
        <v>1</v>
      </c>
      <c r="AN21" s="11">
        <v>1</v>
      </c>
    </row>
    <row r="22" spans="1:40" ht="12" outlineLevel="1">
      <c r="A22" s="11" t="s">
        <v>12</v>
      </c>
      <c r="B22" s="17">
        <v>18.02601179461157</v>
      </c>
      <c r="C22" s="11" t="s">
        <v>31</v>
      </c>
      <c r="D22" s="17">
        <v>1.978644068893607</v>
      </c>
      <c r="Q22" s="16" t="s">
        <v>20</v>
      </c>
      <c r="R22" s="18">
        <f>R18</f>
        <v>0</v>
      </c>
      <c r="S22" s="18">
        <f aca="true" t="shared" si="4" ref="S22:AN22">S18</f>
        <v>-0.3</v>
      </c>
      <c r="T22" s="18">
        <f t="shared" si="4"/>
        <v>-1.1</v>
      </c>
      <c r="U22" s="18">
        <f t="shared" si="4"/>
        <v>-3.1</v>
      </c>
      <c r="V22" s="18">
        <f t="shared" si="4"/>
        <v>-4.1</v>
      </c>
      <c r="W22" s="18">
        <f t="shared" si="4"/>
        <v>-4.1</v>
      </c>
      <c r="X22" s="18">
        <f t="shared" si="4"/>
        <v>-4.1</v>
      </c>
      <c r="Y22" s="18">
        <f t="shared" si="4"/>
        <v>-4.1</v>
      </c>
      <c r="Z22" s="18">
        <f t="shared" si="4"/>
        <v>-4.1</v>
      </c>
      <c r="AA22" s="18">
        <f t="shared" si="4"/>
        <v>-4.1</v>
      </c>
      <c r="AB22" s="18">
        <f t="shared" si="4"/>
        <v>-4.1</v>
      </c>
      <c r="AC22" s="18">
        <f t="shared" si="4"/>
        <v>-4.1</v>
      </c>
      <c r="AD22" s="18">
        <f t="shared" si="4"/>
        <v>-4.1</v>
      </c>
      <c r="AE22" s="18">
        <f t="shared" si="4"/>
        <v>-4.1</v>
      </c>
      <c r="AF22" s="18">
        <f t="shared" si="4"/>
        <v>-4.1</v>
      </c>
      <c r="AG22" s="18">
        <f t="shared" si="4"/>
        <v>-4.1</v>
      </c>
      <c r="AH22" s="18">
        <f t="shared" si="4"/>
        <v>-4.1</v>
      </c>
      <c r="AI22" s="18">
        <f t="shared" si="4"/>
        <v>-5.6</v>
      </c>
      <c r="AJ22" s="18">
        <f t="shared" si="4"/>
        <v>-6.1</v>
      </c>
      <c r="AK22" s="18">
        <f t="shared" si="4"/>
        <v>-7.225</v>
      </c>
      <c r="AL22" s="18">
        <f t="shared" si="4"/>
        <v>-8.425</v>
      </c>
      <c r="AM22" s="18">
        <f t="shared" si="4"/>
        <v>-9.125</v>
      </c>
      <c r="AN22" s="18">
        <f t="shared" si="4"/>
        <v>0</v>
      </c>
    </row>
    <row r="23" spans="1:40" ht="12" outlineLevel="1">
      <c r="A23" s="11" t="s">
        <v>13</v>
      </c>
      <c r="B23" s="17">
        <v>-4.3746828456249816</v>
      </c>
      <c r="C23" s="11" t="s">
        <v>17</v>
      </c>
      <c r="D23" s="17">
        <v>0.7441734497058413</v>
      </c>
      <c r="F23" s="1"/>
      <c r="G23" s="1"/>
      <c r="H23" s="1"/>
      <c r="I23" s="1"/>
      <c r="J23" s="1"/>
      <c r="K23" s="1"/>
      <c r="L23" s="1"/>
      <c r="M23" s="1"/>
      <c r="Q23" s="9" t="s">
        <v>21</v>
      </c>
      <c r="R23" s="18">
        <f>-R19</f>
        <v>0</v>
      </c>
      <c r="S23" s="18">
        <f aca="true" t="shared" si="5" ref="S23:AN23">-S19</f>
        <v>-23.5</v>
      </c>
      <c r="T23" s="18">
        <f t="shared" si="5"/>
        <v>-48.5</v>
      </c>
      <c r="U23" s="18">
        <f t="shared" si="5"/>
        <v>-60.47076860311789</v>
      </c>
      <c r="V23" s="18">
        <f t="shared" si="5"/>
        <v>-63.06443513379343</v>
      </c>
      <c r="W23" s="18">
        <f t="shared" si="5"/>
        <v>-63.06443513379343</v>
      </c>
      <c r="X23" s="18">
        <f t="shared" si="5"/>
        <v>-63.06443513379343</v>
      </c>
      <c r="Y23" s="18">
        <f t="shared" si="5"/>
        <v>-63.06443513379343</v>
      </c>
      <c r="Z23" s="18">
        <f t="shared" si="5"/>
        <v>-63.06443513379343</v>
      </c>
      <c r="AA23" s="18">
        <f t="shared" si="5"/>
        <v>-63.06443513379343</v>
      </c>
      <c r="AB23" s="18">
        <f t="shared" si="5"/>
        <v>-63.06443513379343</v>
      </c>
      <c r="AC23" s="18">
        <f t="shared" si="5"/>
        <v>-63.06443513379343</v>
      </c>
      <c r="AD23" s="18">
        <f t="shared" si="5"/>
        <v>-63.06443513379343</v>
      </c>
      <c r="AE23" s="18">
        <f t="shared" si="5"/>
        <v>-63.06443513379343</v>
      </c>
      <c r="AF23" s="18">
        <f t="shared" si="5"/>
        <v>-63.06443513379343</v>
      </c>
      <c r="AG23" s="18">
        <f t="shared" si="5"/>
        <v>-63.06443513379343</v>
      </c>
      <c r="AH23" s="18">
        <f t="shared" si="5"/>
        <v>-63.06443513379343</v>
      </c>
      <c r="AI23" s="18">
        <f t="shared" si="5"/>
        <v>-63.06443513379343</v>
      </c>
      <c r="AJ23" s="18">
        <f t="shared" si="5"/>
        <v>-60.47076860311789</v>
      </c>
      <c r="AK23" s="18">
        <f t="shared" si="5"/>
        <v>-48.5</v>
      </c>
      <c r="AL23" s="18">
        <f t="shared" si="5"/>
        <v>-23.5</v>
      </c>
      <c r="AM23" s="18">
        <f t="shared" si="5"/>
        <v>0</v>
      </c>
      <c r="AN23" s="18">
        <f t="shared" si="5"/>
        <v>0</v>
      </c>
    </row>
    <row r="24" spans="1:13" ht="12" outlineLevel="1">
      <c r="A24" s="11" t="s">
        <v>14</v>
      </c>
      <c r="B24" s="17">
        <v>27.063111402111506</v>
      </c>
      <c r="C24" s="11" t="s">
        <v>32</v>
      </c>
      <c r="D24" s="17">
        <v>5.624564312599741</v>
      </c>
      <c r="F24" s="1"/>
      <c r="G24" s="1"/>
      <c r="H24" s="1"/>
      <c r="I24" s="1"/>
      <c r="J24" s="1"/>
      <c r="K24" s="1"/>
      <c r="L24" s="1"/>
      <c r="M24" s="1"/>
    </row>
    <row r="25" spans="1:13" ht="12" outlineLevel="1">
      <c r="A25" s="11" t="s">
        <v>15</v>
      </c>
      <c r="B25" s="17">
        <v>7.47886153195728</v>
      </c>
      <c r="F25" s="1"/>
      <c r="G25" s="1"/>
      <c r="H25" s="1"/>
      <c r="I25" s="1"/>
      <c r="J25" s="1"/>
      <c r="K25" s="1"/>
      <c r="L25" s="1"/>
      <c r="M25" s="1"/>
    </row>
    <row r="26" spans="6:13" ht="12" outlineLevel="1">
      <c r="F26" s="1"/>
      <c r="G26" s="1"/>
      <c r="H26" s="1"/>
      <c r="I26" s="1"/>
      <c r="J26" s="1"/>
      <c r="K26" s="1"/>
      <c r="L26" s="1"/>
      <c r="M26" s="1"/>
    </row>
    <row r="27" ht="12.75">
      <c r="A27" s="2" t="s">
        <v>18</v>
      </c>
    </row>
    <row r="28" spans="17:28" ht="12" hidden="1" outlineLevel="1">
      <c r="Q28" s="4" t="s">
        <v>23</v>
      </c>
      <c r="R28" s="5"/>
      <c r="S28" s="5"/>
      <c r="T28" s="4" t="s">
        <v>24</v>
      </c>
      <c r="W28" s="6"/>
      <c r="X28" s="6" t="s">
        <v>33</v>
      </c>
      <c r="Y28" s="6"/>
      <c r="Z28" s="6"/>
      <c r="AA28" s="6"/>
      <c r="AB28" s="6"/>
    </row>
    <row r="29" spans="1:28" ht="12" hidden="1" outlineLevel="1">
      <c r="A29" s="7" t="s">
        <v>8</v>
      </c>
      <c r="E29" s="8"/>
      <c r="Q29" s="9" t="s">
        <v>22</v>
      </c>
      <c r="R29" s="9" t="s">
        <v>20</v>
      </c>
      <c r="S29" s="9" t="s">
        <v>21</v>
      </c>
      <c r="T29" s="9" t="s">
        <v>22</v>
      </c>
      <c r="U29" s="9" t="s">
        <v>20</v>
      </c>
      <c r="V29" s="9" t="s">
        <v>21</v>
      </c>
      <c r="W29" s="10"/>
      <c r="X29" s="9" t="s">
        <v>22</v>
      </c>
      <c r="Y29" s="9" t="s">
        <v>20</v>
      </c>
      <c r="Z29" s="9" t="s">
        <v>21</v>
      </c>
      <c r="AA29" s="10"/>
      <c r="AB29" s="10"/>
    </row>
    <row r="30" spans="1:28" ht="12" hidden="1" outlineLevel="1">
      <c r="A30" s="11" t="s">
        <v>1</v>
      </c>
      <c r="B30" s="11" t="s">
        <v>2</v>
      </c>
      <c r="C30" s="11" t="s">
        <v>25</v>
      </c>
      <c r="D30" s="15" t="s">
        <v>29</v>
      </c>
      <c r="E30" s="9" t="s">
        <v>28</v>
      </c>
      <c r="Q30" s="11">
        <v>1</v>
      </c>
      <c r="R30" s="18">
        <f>C31</f>
        <v>0</v>
      </c>
      <c r="S30" s="18">
        <f>B31</f>
        <v>0</v>
      </c>
      <c r="T30" s="11">
        <v>1</v>
      </c>
      <c r="U30" s="18">
        <f>C31-A31</f>
        <v>-10</v>
      </c>
      <c r="V30" s="18">
        <f>S30</f>
        <v>0</v>
      </c>
      <c r="W30" s="6"/>
      <c r="X30" s="11">
        <v>1</v>
      </c>
      <c r="Y30" s="18">
        <f>B50</f>
        <v>12.484889019046182</v>
      </c>
      <c r="Z30" s="18">
        <f>B49+0.5*B51</f>
        <v>-1.247002412360331</v>
      </c>
      <c r="AA30" s="6"/>
      <c r="AB30" s="6"/>
    </row>
    <row r="31" spans="1:28" ht="12" hidden="1" outlineLevel="1">
      <c r="A31" s="12">
        <v>10</v>
      </c>
      <c r="B31" s="12">
        <v>0</v>
      </c>
      <c r="C31" s="12">
        <v>0</v>
      </c>
      <c r="D31" s="12">
        <v>5</v>
      </c>
      <c r="E31" s="12">
        <v>2</v>
      </c>
      <c r="Q31" s="11">
        <v>2</v>
      </c>
      <c r="R31" s="18">
        <f>R30-D34</f>
        <v>-2</v>
      </c>
      <c r="S31" s="18">
        <f>S30+C34*COS(E34*PI()/180)</f>
        <v>23.5</v>
      </c>
      <c r="T31" s="11">
        <v>2</v>
      </c>
      <c r="U31" s="18">
        <f>R31-B34</f>
        <v>-9.5</v>
      </c>
      <c r="V31" s="18">
        <f aca="true" t="shared" si="6" ref="V31:V40">S31</f>
        <v>23.5</v>
      </c>
      <c r="W31" s="6"/>
      <c r="X31" s="11">
        <v>2</v>
      </c>
      <c r="Y31" s="18">
        <f>B50</f>
        <v>12.484889019046182</v>
      </c>
      <c r="Z31" s="18">
        <f>D46</f>
        <v>-3.3746286659405467</v>
      </c>
      <c r="AA31" s="6"/>
      <c r="AB31" s="6"/>
    </row>
    <row r="32" spans="17:28" ht="12" hidden="1" outlineLevel="1">
      <c r="Q32" s="11">
        <v>3</v>
      </c>
      <c r="R32" s="18">
        <f aca="true" t="shared" si="7" ref="R32:R40">R31-D35</f>
        <v>-7</v>
      </c>
      <c r="S32" s="18">
        <f aca="true" t="shared" si="8" ref="S32:S40">S31+C35*COS(E35*PI()/180)</f>
        <v>27.48477879236698</v>
      </c>
      <c r="T32" s="11">
        <v>3</v>
      </c>
      <c r="U32" s="18">
        <f aca="true" t="shared" si="9" ref="U32:U40">R32-B35</f>
        <v>-10</v>
      </c>
      <c r="V32" s="18">
        <f t="shared" si="6"/>
        <v>27.48477879236698</v>
      </c>
      <c r="W32" s="6"/>
      <c r="X32" s="11">
        <v>3</v>
      </c>
      <c r="Y32" s="18">
        <f>B50</f>
        <v>12.484889019046182</v>
      </c>
      <c r="Z32" s="18">
        <f>B49-0.5*B51</f>
        <v>-9.757507426681194</v>
      </c>
      <c r="AA32" s="6"/>
      <c r="AB32" s="6"/>
    </row>
    <row r="33" spans="1:28" ht="12" hidden="1" outlineLevel="1">
      <c r="A33" s="13" t="s">
        <v>3</v>
      </c>
      <c r="B33" s="14" t="s">
        <v>4</v>
      </c>
      <c r="C33" s="14" t="s">
        <v>5</v>
      </c>
      <c r="D33" s="14" t="s">
        <v>6</v>
      </c>
      <c r="E33" s="14" t="s">
        <v>7</v>
      </c>
      <c r="Q33" s="11">
        <v>4</v>
      </c>
      <c r="R33" s="18">
        <f t="shared" si="7"/>
        <v>-7</v>
      </c>
      <c r="S33" s="18">
        <f t="shared" si="8"/>
        <v>27.48477879236698</v>
      </c>
      <c r="T33" s="11">
        <v>4</v>
      </c>
      <c r="U33" s="18">
        <f t="shared" si="9"/>
        <v>-7</v>
      </c>
      <c r="V33" s="18">
        <f t="shared" si="6"/>
        <v>27.48477879236698</v>
      </c>
      <c r="W33" s="6"/>
      <c r="X33" s="6"/>
      <c r="Y33" s="6"/>
      <c r="Z33" s="6"/>
      <c r="AA33" s="6"/>
      <c r="AB33" s="6"/>
    </row>
    <row r="34" spans="1:28" ht="12" hidden="1" outlineLevel="1">
      <c r="A34" s="11">
        <v>1</v>
      </c>
      <c r="B34" s="12">
        <v>7.5</v>
      </c>
      <c r="C34" s="12">
        <v>23.5</v>
      </c>
      <c r="D34" s="12">
        <v>2</v>
      </c>
      <c r="E34" s="12">
        <v>0</v>
      </c>
      <c r="Q34" s="11">
        <v>5</v>
      </c>
      <c r="R34" s="18">
        <f t="shared" si="7"/>
        <v>-7</v>
      </c>
      <c r="S34" s="18">
        <f t="shared" si="8"/>
        <v>27.48477879236698</v>
      </c>
      <c r="T34" s="11">
        <v>5</v>
      </c>
      <c r="U34" s="18">
        <f t="shared" si="9"/>
        <v>-7</v>
      </c>
      <c r="V34" s="18">
        <f t="shared" si="6"/>
        <v>27.48477879236698</v>
      </c>
      <c r="W34" s="6"/>
      <c r="X34" s="6"/>
      <c r="Y34" s="6"/>
      <c r="Z34" s="6"/>
      <c r="AA34" s="6"/>
      <c r="AB34" s="6"/>
    </row>
    <row r="35" spans="1:28" ht="12" hidden="1" outlineLevel="1">
      <c r="A35" s="15">
        <v>2</v>
      </c>
      <c r="B35" s="12">
        <v>3</v>
      </c>
      <c r="C35" s="12">
        <v>4</v>
      </c>
      <c r="D35" s="12">
        <v>5</v>
      </c>
      <c r="E35" s="12">
        <v>5</v>
      </c>
      <c r="Q35" s="11">
        <v>6</v>
      </c>
      <c r="R35" s="18">
        <f t="shared" si="7"/>
        <v>-7</v>
      </c>
      <c r="S35" s="18">
        <f t="shared" si="8"/>
        <v>27.48477879236698</v>
      </c>
      <c r="T35" s="11">
        <v>6</v>
      </c>
      <c r="U35" s="18">
        <f t="shared" si="9"/>
        <v>-7</v>
      </c>
      <c r="V35" s="18">
        <f t="shared" si="6"/>
        <v>27.48477879236698</v>
      </c>
      <c r="W35" s="6"/>
      <c r="X35" s="6"/>
      <c r="Y35" s="6"/>
      <c r="Z35" s="6"/>
      <c r="AA35" s="6"/>
      <c r="AB35" s="6"/>
    </row>
    <row r="36" spans="1:28" ht="12" hidden="1" outlineLevel="1">
      <c r="A36" s="15"/>
      <c r="B36" s="15"/>
      <c r="C36" s="15"/>
      <c r="D36" s="15"/>
      <c r="E36" s="15"/>
      <c r="Q36" s="11">
        <v>7</v>
      </c>
      <c r="R36" s="18">
        <f t="shared" si="7"/>
        <v>-7</v>
      </c>
      <c r="S36" s="18">
        <f t="shared" si="8"/>
        <v>27.48477879236698</v>
      </c>
      <c r="T36" s="11">
        <v>7</v>
      </c>
      <c r="U36" s="18">
        <f t="shared" si="9"/>
        <v>-7</v>
      </c>
      <c r="V36" s="18">
        <f t="shared" si="6"/>
        <v>27.48477879236698</v>
      </c>
      <c r="W36" s="6"/>
      <c r="X36" s="6"/>
      <c r="Y36" s="6"/>
      <c r="Z36" s="6"/>
      <c r="AA36" s="6"/>
      <c r="AB36" s="6"/>
    </row>
    <row r="37" spans="1:28" ht="12" hidden="1" outlineLevel="1">
      <c r="A37" s="15"/>
      <c r="B37" s="15"/>
      <c r="C37" s="15"/>
      <c r="D37" s="15"/>
      <c r="E37" s="15"/>
      <c r="Q37" s="11">
        <v>8</v>
      </c>
      <c r="R37" s="18">
        <f t="shared" si="7"/>
        <v>-7</v>
      </c>
      <c r="S37" s="18">
        <f t="shared" si="8"/>
        <v>27.48477879236698</v>
      </c>
      <c r="T37" s="11">
        <v>8</v>
      </c>
      <c r="U37" s="18">
        <f t="shared" si="9"/>
        <v>-7</v>
      </c>
      <c r="V37" s="18">
        <f t="shared" si="6"/>
        <v>27.48477879236698</v>
      </c>
      <c r="W37" s="6"/>
      <c r="X37" s="6"/>
      <c r="Y37" s="6"/>
      <c r="Z37" s="6"/>
      <c r="AA37" s="6"/>
      <c r="AB37" s="6"/>
    </row>
    <row r="38" spans="1:28" ht="12" hidden="1" outlineLevel="1">
      <c r="A38" s="15"/>
      <c r="B38" s="15"/>
      <c r="C38" s="15"/>
      <c r="D38" s="15"/>
      <c r="E38" s="15"/>
      <c r="Q38" s="11">
        <v>9</v>
      </c>
      <c r="R38" s="18">
        <f t="shared" si="7"/>
        <v>-7</v>
      </c>
      <c r="S38" s="18">
        <f t="shared" si="8"/>
        <v>27.48477879236698</v>
      </c>
      <c r="T38" s="11">
        <v>9</v>
      </c>
      <c r="U38" s="18">
        <f t="shared" si="9"/>
        <v>-7</v>
      </c>
      <c r="V38" s="18">
        <f t="shared" si="6"/>
        <v>27.48477879236698</v>
      </c>
      <c r="W38" s="6"/>
      <c r="X38" s="6"/>
      <c r="Y38" s="6"/>
      <c r="Z38" s="6"/>
      <c r="AA38" s="6"/>
      <c r="AB38" s="6"/>
    </row>
    <row r="39" spans="1:28" ht="12" hidden="1" outlineLevel="1">
      <c r="A39" s="15"/>
      <c r="B39" s="15"/>
      <c r="C39" s="15"/>
      <c r="D39" s="15"/>
      <c r="E39" s="15"/>
      <c r="Q39" s="11">
        <v>10</v>
      </c>
      <c r="R39" s="18">
        <f t="shared" si="7"/>
        <v>-7</v>
      </c>
      <c r="S39" s="18">
        <f t="shared" si="8"/>
        <v>27.48477879236698</v>
      </c>
      <c r="T39" s="11">
        <v>10</v>
      </c>
      <c r="U39" s="18">
        <f t="shared" si="9"/>
        <v>-7</v>
      </c>
      <c r="V39" s="18">
        <f t="shared" si="6"/>
        <v>27.48477879236698</v>
      </c>
      <c r="W39" s="6"/>
      <c r="X39" s="6"/>
      <c r="Y39" s="6"/>
      <c r="Z39" s="6"/>
      <c r="AA39" s="6"/>
      <c r="AB39" s="6"/>
    </row>
    <row r="40" spans="1:28" ht="12" hidden="1" outlineLevel="1">
      <c r="A40" s="15"/>
      <c r="B40" s="15"/>
      <c r="C40" s="15"/>
      <c r="D40" s="15"/>
      <c r="E40" s="15"/>
      <c r="Q40" s="11">
        <v>11</v>
      </c>
      <c r="R40" s="18">
        <f t="shared" si="7"/>
        <v>-7</v>
      </c>
      <c r="S40" s="18">
        <f t="shared" si="8"/>
        <v>27.48477879236698</v>
      </c>
      <c r="T40" s="11">
        <v>11</v>
      </c>
      <c r="U40" s="18">
        <f t="shared" si="9"/>
        <v>-7</v>
      </c>
      <c r="V40" s="18">
        <f t="shared" si="6"/>
        <v>27.48477879236698</v>
      </c>
      <c r="W40" s="6"/>
      <c r="X40" s="6"/>
      <c r="Y40" s="6"/>
      <c r="Z40" s="6"/>
      <c r="AA40" s="6"/>
      <c r="AB40" s="6"/>
    </row>
    <row r="41" spans="1:5" ht="12" hidden="1" outlineLevel="1">
      <c r="A41" s="15"/>
      <c r="B41" s="15"/>
      <c r="C41" s="15"/>
      <c r="D41" s="15"/>
      <c r="E41" s="15"/>
    </row>
    <row r="42" spans="1:17" ht="12" hidden="1" outlineLevel="1">
      <c r="A42" s="15"/>
      <c r="B42" s="15"/>
      <c r="C42" s="15"/>
      <c r="D42" s="15"/>
      <c r="E42" s="15"/>
      <c r="Q42" s="3" t="s">
        <v>26</v>
      </c>
    </row>
    <row r="43" spans="1:40" ht="12" hidden="1" outlineLevel="1">
      <c r="A43" s="15"/>
      <c r="B43" s="15"/>
      <c r="C43" s="15"/>
      <c r="D43" s="15"/>
      <c r="E43" s="15"/>
      <c r="Q43" s="9" t="s">
        <v>22</v>
      </c>
      <c r="R43" s="11">
        <v>1</v>
      </c>
      <c r="S43" s="11">
        <v>2</v>
      </c>
      <c r="T43" s="11">
        <v>3</v>
      </c>
      <c r="U43" s="11">
        <v>4</v>
      </c>
      <c r="V43" s="11">
        <v>5</v>
      </c>
      <c r="W43" s="11">
        <v>6</v>
      </c>
      <c r="X43" s="11">
        <v>7</v>
      </c>
      <c r="Y43" s="11">
        <v>8</v>
      </c>
      <c r="Z43" s="11">
        <v>9</v>
      </c>
      <c r="AA43" s="11">
        <v>10</v>
      </c>
      <c r="AB43" s="11">
        <v>11</v>
      </c>
      <c r="AC43" s="11">
        <v>11</v>
      </c>
      <c r="AD43" s="11">
        <v>10</v>
      </c>
      <c r="AE43" s="11">
        <v>9</v>
      </c>
      <c r="AF43" s="11">
        <v>8</v>
      </c>
      <c r="AG43" s="11">
        <v>7</v>
      </c>
      <c r="AH43" s="11">
        <v>6</v>
      </c>
      <c r="AI43" s="11">
        <v>5</v>
      </c>
      <c r="AJ43" s="11">
        <v>4</v>
      </c>
      <c r="AK43" s="11">
        <v>3</v>
      </c>
      <c r="AL43" s="11">
        <v>2</v>
      </c>
      <c r="AM43" s="11">
        <v>1</v>
      </c>
      <c r="AN43" s="11">
        <v>1</v>
      </c>
    </row>
    <row r="44" spans="17:40" ht="12" hidden="1" outlineLevel="1">
      <c r="Q44" s="16" t="s">
        <v>20</v>
      </c>
      <c r="R44" s="18">
        <f>R30</f>
        <v>0</v>
      </c>
      <c r="S44" s="18">
        <f>R31</f>
        <v>-2</v>
      </c>
      <c r="T44" s="18">
        <f>R32</f>
        <v>-7</v>
      </c>
      <c r="U44" s="18">
        <f>R33</f>
        <v>-7</v>
      </c>
      <c r="V44" s="18">
        <f>R34</f>
        <v>-7</v>
      </c>
      <c r="W44" s="18">
        <f>R35</f>
        <v>-7</v>
      </c>
      <c r="X44" s="18">
        <f>R36</f>
        <v>-7</v>
      </c>
      <c r="Y44" s="18">
        <f>R37</f>
        <v>-7</v>
      </c>
      <c r="Z44" s="18">
        <f>R38</f>
        <v>-7</v>
      </c>
      <c r="AA44" s="18">
        <f>R39</f>
        <v>-7</v>
      </c>
      <c r="AB44" s="18">
        <f>R40</f>
        <v>-7</v>
      </c>
      <c r="AC44" s="18">
        <f>U40</f>
        <v>-7</v>
      </c>
      <c r="AD44" s="18">
        <f>U39</f>
        <v>-7</v>
      </c>
      <c r="AE44" s="18">
        <f>U38</f>
        <v>-7</v>
      </c>
      <c r="AF44" s="18">
        <f>U37</f>
        <v>-7</v>
      </c>
      <c r="AG44" s="18">
        <f>U36</f>
        <v>-7</v>
      </c>
      <c r="AH44" s="18">
        <f>U35</f>
        <v>-7</v>
      </c>
      <c r="AI44" s="18">
        <f>U34</f>
        <v>-7</v>
      </c>
      <c r="AJ44" s="18">
        <f>U33</f>
        <v>-7</v>
      </c>
      <c r="AK44" s="18">
        <f>U32</f>
        <v>-10</v>
      </c>
      <c r="AL44" s="18">
        <f>U31</f>
        <v>-9.5</v>
      </c>
      <c r="AM44" s="18">
        <f>U30</f>
        <v>-10</v>
      </c>
      <c r="AN44" s="18">
        <f>R30</f>
        <v>0</v>
      </c>
    </row>
    <row r="45" spans="1:40" ht="12" hidden="1" outlineLevel="1">
      <c r="A45" s="7" t="s">
        <v>9</v>
      </c>
      <c r="Q45" s="9" t="s">
        <v>21</v>
      </c>
      <c r="R45" s="18">
        <f>S30</f>
        <v>0</v>
      </c>
      <c r="S45" s="18">
        <f>S31</f>
        <v>23.5</v>
      </c>
      <c r="T45" s="18">
        <f>S32</f>
        <v>27.48477879236698</v>
      </c>
      <c r="U45" s="18">
        <f>S33</f>
        <v>27.48477879236698</v>
      </c>
      <c r="V45" s="18">
        <f>S34</f>
        <v>27.48477879236698</v>
      </c>
      <c r="W45" s="18">
        <f>S35</f>
        <v>27.48477879236698</v>
      </c>
      <c r="X45" s="18">
        <f>S36</f>
        <v>27.48477879236698</v>
      </c>
      <c r="Y45" s="18">
        <f>S37</f>
        <v>27.48477879236698</v>
      </c>
      <c r="Z45" s="18">
        <f>S38</f>
        <v>27.48477879236698</v>
      </c>
      <c r="AA45" s="18">
        <f>S39</f>
        <v>27.48477879236698</v>
      </c>
      <c r="AB45" s="18">
        <f>S40</f>
        <v>27.48477879236698</v>
      </c>
      <c r="AC45" s="18">
        <f>V40</f>
        <v>27.48477879236698</v>
      </c>
      <c r="AD45" s="18">
        <f>V39</f>
        <v>27.48477879236698</v>
      </c>
      <c r="AE45" s="18">
        <f>V38</f>
        <v>27.48477879236698</v>
      </c>
      <c r="AF45" s="18">
        <f>V37</f>
        <v>27.48477879236698</v>
      </c>
      <c r="AG45" s="18">
        <f>V36</f>
        <v>27.48477879236698</v>
      </c>
      <c r="AH45" s="18">
        <f>V35</f>
        <v>27.48477879236698</v>
      </c>
      <c r="AI45" s="18">
        <f>V34</f>
        <v>27.48477879236698</v>
      </c>
      <c r="AJ45" s="18">
        <f>V33</f>
        <v>27.48477879236698</v>
      </c>
      <c r="AK45" s="18">
        <f>V32</f>
        <v>27.48477879236698</v>
      </c>
      <c r="AL45" s="18">
        <f>V31</f>
        <v>23.5</v>
      </c>
      <c r="AM45" s="18">
        <f>V30</f>
        <v>0</v>
      </c>
      <c r="AN45" s="18">
        <f>S30</f>
        <v>0</v>
      </c>
    </row>
    <row r="46" spans="1:17" ht="12" hidden="1" outlineLevel="1">
      <c r="A46" s="11" t="s">
        <v>10</v>
      </c>
      <c r="B46" s="17">
        <v>54.96955758473396</v>
      </c>
      <c r="C46" s="11" t="s">
        <v>16</v>
      </c>
      <c r="D46" s="17">
        <v>-3.3746286659405467</v>
      </c>
      <c r="Q46" s="3" t="s">
        <v>27</v>
      </c>
    </row>
    <row r="47" spans="1:40" ht="12" hidden="1" outlineLevel="1">
      <c r="A47" s="11" t="s">
        <v>11</v>
      </c>
      <c r="B47" s="17">
        <v>453.09017731985335</v>
      </c>
      <c r="C47" s="11" t="s">
        <v>30</v>
      </c>
      <c r="D47" s="17">
        <v>6.580832468304843</v>
      </c>
      <c r="Q47" s="9" t="s">
        <v>22</v>
      </c>
      <c r="R47" s="11">
        <v>1</v>
      </c>
      <c r="S47" s="11">
        <v>2</v>
      </c>
      <c r="T47" s="11">
        <v>3</v>
      </c>
      <c r="U47" s="11">
        <v>4</v>
      </c>
      <c r="V47" s="11">
        <v>5</v>
      </c>
      <c r="W47" s="11">
        <v>6</v>
      </c>
      <c r="X47" s="11">
        <v>7</v>
      </c>
      <c r="Y47" s="11">
        <v>8</v>
      </c>
      <c r="Z47" s="11">
        <v>9</v>
      </c>
      <c r="AA47" s="11">
        <v>10</v>
      </c>
      <c r="AB47" s="11">
        <v>11</v>
      </c>
      <c r="AC47" s="11">
        <v>11</v>
      </c>
      <c r="AD47" s="11">
        <v>10</v>
      </c>
      <c r="AE47" s="11">
        <v>9</v>
      </c>
      <c r="AF47" s="11">
        <v>8</v>
      </c>
      <c r="AG47" s="11">
        <v>7</v>
      </c>
      <c r="AH47" s="11">
        <v>6</v>
      </c>
      <c r="AI47" s="11">
        <v>5</v>
      </c>
      <c r="AJ47" s="11">
        <v>4</v>
      </c>
      <c r="AK47" s="11">
        <v>3</v>
      </c>
      <c r="AL47" s="11">
        <v>2</v>
      </c>
      <c r="AM47" s="11">
        <v>1</v>
      </c>
      <c r="AN47" s="11">
        <v>1</v>
      </c>
    </row>
    <row r="48" spans="1:40" ht="12" hidden="1" outlineLevel="1">
      <c r="A48" s="11" t="s">
        <v>12</v>
      </c>
      <c r="B48" s="17">
        <v>6.668986467407536</v>
      </c>
      <c r="C48" s="11" t="s">
        <v>31</v>
      </c>
      <c r="D48" s="17">
        <v>9.271254339190067</v>
      </c>
      <c r="Q48" s="16" t="s">
        <v>20</v>
      </c>
      <c r="R48" s="18">
        <f>R44</f>
        <v>0</v>
      </c>
      <c r="S48" s="18">
        <f aca="true" t="shared" si="10" ref="S48:AN48">S44</f>
        <v>-2</v>
      </c>
      <c r="T48" s="18">
        <f t="shared" si="10"/>
        <v>-7</v>
      </c>
      <c r="U48" s="18">
        <f t="shared" si="10"/>
        <v>-7</v>
      </c>
      <c r="V48" s="18">
        <f t="shared" si="10"/>
        <v>-7</v>
      </c>
      <c r="W48" s="18">
        <f t="shared" si="10"/>
        <v>-7</v>
      </c>
      <c r="X48" s="18">
        <f t="shared" si="10"/>
        <v>-7</v>
      </c>
      <c r="Y48" s="18">
        <f t="shared" si="10"/>
        <v>-7</v>
      </c>
      <c r="Z48" s="18">
        <f t="shared" si="10"/>
        <v>-7</v>
      </c>
      <c r="AA48" s="18">
        <f t="shared" si="10"/>
        <v>-7</v>
      </c>
      <c r="AB48" s="18">
        <f t="shared" si="10"/>
        <v>-7</v>
      </c>
      <c r="AC48" s="18">
        <f t="shared" si="10"/>
        <v>-7</v>
      </c>
      <c r="AD48" s="18">
        <f t="shared" si="10"/>
        <v>-7</v>
      </c>
      <c r="AE48" s="18">
        <f t="shared" si="10"/>
        <v>-7</v>
      </c>
      <c r="AF48" s="18">
        <f t="shared" si="10"/>
        <v>-7</v>
      </c>
      <c r="AG48" s="18">
        <f t="shared" si="10"/>
        <v>-7</v>
      </c>
      <c r="AH48" s="18">
        <f t="shared" si="10"/>
        <v>-7</v>
      </c>
      <c r="AI48" s="18">
        <f t="shared" si="10"/>
        <v>-7</v>
      </c>
      <c r="AJ48" s="18">
        <f t="shared" si="10"/>
        <v>-7</v>
      </c>
      <c r="AK48" s="18">
        <f t="shared" si="10"/>
        <v>-10</v>
      </c>
      <c r="AL48" s="18">
        <f t="shared" si="10"/>
        <v>-9.5</v>
      </c>
      <c r="AM48" s="18">
        <f t="shared" si="10"/>
        <v>-10</v>
      </c>
      <c r="AN48" s="18">
        <f t="shared" si="10"/>
        <v>0</v>
      </c>
    </row>
    <row r="49" spans="1:40" ht="12" hidden="1" outlineLevel="1">
      <c r="A49" s="11" t="s">
        <v>13</v>
      </c>
      <c r="B49" s="17">
        <v>-5.502254919520762</v>
      </c>
      <c r="C49" s="11" t="s">
        <v>17</v>
      </c>
      <c r="D49" s="17">
        <v>0.699256547128705</v>
      </c>
      <c r="F49" s="1"/>
      <c r="G49" s="1"/>
      <c r="H49" s="1"/>
      <c r="I49" s="1"/>
      <c r="J49" s="1"/>
      <c r="K49" s="1"/>
      <c r="L49" s="1"/>
      <c r="M49" s="1"/>
      <c r="Q49" s="9" t="s">
        <v>21</v>
      </c>
      <c r="R49" s="18">
        <f>-R45</f>
        <v>0</v>
      </c>
      <c r="S49" s="18">
        <f aca="true" t="shared" si="11" ref="S49:AN49">-S45</f>
        <v>-23.5</v>
      </c>
      <c r="T49" s="18">
        <f t="shared" si="11"/>
        <v>-27.48477879236698</v>
      </c>
      <c r="U49" s="18">
        <f t="shared" si="11"/>
        <v>-27.48477879236698</v>
      </c>
      <c r="V49" s="18">
        <f t="shared" si="11"/>
        <v>-27.48477879236698</v>
      </c>
      <c r="W49" s="18">
        <f t="shared" si="11"/>
        <v>-27.48477879236698</v>
      </c>
      <c r="X49" s="18">
        <f t="shared" si="11"/>
        <v>-27.48477879236698</v>
      </c>
      <c r="Y49" s="18">
        <f t="shared" si="11"/>
        <v>-27.48477879236698</v>
      </c>
      <c r="Z49" s="18">
        <f t="shared" si="11"/>
        <v>-27.48477879236698</v>
      </c>
      <c r="AA49" s="18">
        <f t="shared" si="11"/>
        <v>-27.48477879236698</v>
      </c>
      <c r="AB49" s="18">
        <f t="shared" si="11"/>
        <v>-27.48477879236698</v>
      </c>
      <c r="AC49" s="18">
        <f t="shared" si="11"/>
        <v>-27.48477879236698</v>
      </c>
      <c r="AD49" s="18">
        <f t="shared" si="11"/>
        <v>-27.48477879236698</v>
      </c>
      <c r="AE49" s="18">
        <f t="shared" si="11"/>
        <v>-27.48477879236698</v>
      </c>
      <c r="AF49" s="18">
        <f t="shared" si="11"/>
        <v>-27.48477879236698</v>
      </c>
      <c r="AG49" s="18">
        <f t="shared" si="11"/>
        <v>-27.48477879236698</v>
      </c>
      <c r="AH49" s="18">
        <f t="shared" si="11"/>
        <v>-27.48477879236698</v>
      </c>
      <c r="AI49" s="18">
        <f t="shared" si="11"/>
        <v>-27.48477879236698</v>
      </c>
      <c r="AJ49" s="18">
        <f t="shared" si="11"/>
        <v>-27.48477879236698</v>
      </c>
      <c r="AK49" s="18">
        <f t="shared" si="11"/>
        <v>-27.48477879236698</v>
      </c>
      <c r="AL49" s="18">
        <f t="shared" si="11"/>
        <v>-23.5</v>
      </c>
      <c r="AM49" s="18">
        <f t="shared" si="11"/>
        <v>0</v>
      </c>
      <c r="AN49" s="18">
        <f t="shared" si="11"/>
        <v>0</v>
      </c>
    </row>
    <row r="50" spans="1:13" ht="12" hidden="1" outlineLevel="1">
      <c r="A50" s="11" t="s">
        <v>14</v>
      </c>
      <c r="B50" s="17">
        <v>12.484889019046182</v>
      </c>
      <c r="C50" s="11" t="s">
        <v>32</v>
      </c>
      <c r="D50" s="17">
        <v>4.653346000914427</v>
      </c>
      <c r="F50" s="1"/>
      <c r="G50" s="1"/>
      <c r="H50" s="1"/>
      <c r="I50" s="1"/>
      <c r="J50" s="1"/>
      <c r="K50" s="1"/>
      <c r="L50" s="1"/>
      <c r="M50" s="1"/>
    </row>
    <row r="51" spans="1:13" ht="12" hidden="1" outlineLevel="1">
      <c r="A51" s="11" t="s">
        <v>15</v>
      </c>
      <c r="B51" s="17">
        <v>8.510505014320863</v>
      </c>
      <c r="F51" s="1"/>
      <c r="G51" s="1"/>
      <c r="H51" s="1"/>
      <c r="I51" s="1"/>
      <c r="J51" s="1"/>
      <c r="K51" s="1"/>
      <c r="L51" s="1"/>
      <c r="M51" s="1"/>
    </row>
    <row r="52" ht="12" hidden="1" outlineLevel="1">
      <c r="D52" s="1"/>
    </row>
    <row r="53" spans="1:4" ht="12.75" collapsed="1">
      <c r="A53" s="2" t="s">
        <v>19</v>
      </c>
      <c r="D53" s="1"/>
    </row>
    <row r="54" spans="4:28" ht="12" hidden="1" outlineLevel="1">
      <c r="D54" s="1"/>
      <c r="Q54" s="4" t="s">
        <v>23</v>
      </c>
      <c r="R54" s="5"/>
      <c r="S54" s="5"/>
      <c r="T54" s="4" t="s">
        <v>24</v>
      </c>
      <c r="W54" s="6"/>
      <c r="X54" s="6" t="s">
        <v>33</v>
      </c>
      <c r="Y54" s="6"/>
      <c r="Z54" s="6"/>
      <c r="AA54" s="6"/>
      <c r="AB54" s="6"/>
    </row>
    <row r="55" spans="1:28" ht="12" hidden="1" outlineLevel="1">
      <c r="A55" s="7" t="s">
        <v>8</v>
      </c>
      <c r="D55" s="1"/>
      <c r="E55" s="8"/>
      <c r="Q55" s="9" t="s">
        <v>22</v>
      </c>
      <c r="R55" s="9" t="s">
        <v>20</v>
      </c>
      <c r="S55" s="9" t="s">
        <v>21</v>
      </c>
      <c r="T55" s="9" t="s">
        <v>22</v>
      </c>
      <c r="U55" s="9" t="s">
        <v>20</v>
      </c>
      <c r="V55" s="9" t="s">
        <v>21</v>
      </c>
      <c r="W55" s="10"/>
      <c r="X55" s="9" t="s">
        <v>22</v>
      </c>
      <c r="Y55" s="9" t="s">
        <v>20</v>
      </c>
      <c r="Z55" s="9" t="s">
        <v>21</v>
      </c>
      <c r="AA55" s="10"/>
      <c r="AB55" s="10"/>
    </row>
    <row r="56" spans="1:28" ht="12" hidden="1" outlineLevel="1">
      <c r="A56" s="11" t="s">
        <v>1</v>
      </c>
      <c r="B56" s="11" t="s">
        <v>2</v>
      </c>
      <c r="C56" s="11" t="s">
        <v>25</v>
      </c>
      <c r="D56" s="15" t="s">
        <v>29</v>
      </c>
      <c r="E56" s="9" t="s">
        <v>28</v>
      </c>
      <c r="Q56" s="11">
        <v>1</v>
      </c>
      <c r="R56" s="18">
        <f>C57</f>
        <v>4</v>
      </c>
      <c r="S56" s="18">
        <f>B57</f>
        <v>1</v>
      </c>
      <c r="T56" s="11">
        <v>1</v>
      </c>
      <c r="U56" s="18">
        <f>C57-A57</f>
        <v>-8</v>
      </c>
      <c r="V56" s="18">
        <f>S56</f>
        <v>1</v>
      </c>
      <c r="W56" s="6"/>
      <c r="X56" s="11">
        <v>1</v>
      </c>
      <c r="Y56" s="18">
        <f>B76</f>
        <v>14.70598619804205</v>
      </c>
      <c r="Z56" s="18">
        <f>B75+0.5*B77</f>
        <v>2.9106082490771943</v>
      </c>
      <c r="AA56" s="6"/>
      <c r="AB56" s="6"/>
    </row>
    <row r="57" spans="1:28" ht="12" hidden="1" outlineLevel="1">
      <c r="A57" s="12">
        <v>12</v>
      </c>
      <c r="B57" s="12">
        <v>1</v>
      </c>
      <c r="C57" s="12">
        <v>4</v>
      </c>
      <c r="D57" s="12">
        <v>2</v>
      </c>
      <c r="E57" s="12">
        <v>3</v>
      </c>
      <c r="Q57" s="11">
        <v>2</v>
      </c>
      <c r="R57" s="18">
        <f>R56-D60</f>
        <v>4</v>
      </c>
      <c r="S57" s="18">
        <f>S56+C60*COS(E60*PI()/180)</f>
        <v>4</v>
      </c>
      <c r="T57" s="11">
        <v>2</v>
      </c>
      <c r="U57" s="18">
        <f>R57-B60</f>
        <v>-6</v>
      </c>
      <c r="V57" s="18">
        <f aca="true" t="shared" si="12" ref="V57:V66">S57</f>
        <v>4</v>
      </c>
      <c r="W57" s="6"/>
      <c r="X57" s="11">
        <v>2</v>
      </c>
      <c r="Y57" s="18">
        <f>B76</f>
        <v>14.70598619804205</v>
      </c>
      <c r="Z57" s="18">
        <f>D72</f>
        <v>0.7031375381158722</v>
      </c>
      <c r="AA57" s="6"/>
      <c r="AB57" s="6"/>
    </row>
    <row r="58" spans="17:28" ht="12" hidden="1" outlineLevel="1">
      <c r="Q58" s="11">
        <v>3</v>
      </c>
      <c r="R58" s="18">
        <f aca="true" t="shared" si="13" ref="R58:R66">R57-D61</f>
        <v>2</v>
      </c>
      <c r="S58" s="18">
        <f aca="true" t="shared" si="14" ref="S58:S66">S57+C61*COS(E61*PI()/180)</f>
        <v>27.5</v>
      </c>
      <c r="T58" s="11">
        <v>3</v>
      </c>
      <c r="U58" s="18">
        <f aca="true" t="shared" si="15" ref="U58:U66">R58-B61</f>
        <v>-5.5</v>
      </c>
      <c r="V58" s="18">
        <f t="shared" si="12"/>
        <v>27.5</v>
      </c>
      <c r="W58" s="6"/>
      <c r="X58" s="11">
        <v>3</v>
      </c>
      <c r="Y58" s="18">
        <f>B76</f>
        <v>14.70598619804205</v>
      </c>
      <c r="Z58" s="18">
        <f>B75-0.5*B77</f>
        <v>-5.919274594768094</v>
      </c>
      <c r="AA58" s="6"/>
      <c r="AB58" s="6"/>
    </row>
    <row r="59" spans="1:28" ht="12" hidden="1" outlineLevel="1">
      <c r="A59" s="13" t="s">
        <v>3</v>
      </c>
      <c r="B59" s="14" t="s">
        <v>4</v>
      </c>
      <c r="C59" s="14" t="s">
        <v>5</v>
      </c>
      <c r="D59" s="14" t="s">
        <v>6</v>
      </c>
      <c r="E59" s="14" t="s">
        <v>7</v>
      </c>
      <c r="Q59" s="11">
        <v>4</v>
      </c>
      <c r="R59" s="18">
        <f t="shared" si="13"/>
        <v>-3</v>
      </c>
      <c r="S59" s="18">
        <f t="shared" si="14"/>
        <v>31.5</v>
      </c>
      <c r="T59" s="11">
        <v>4</v>
      </c>
      <c r="U59" s="18">
        <f t="shared" si="15"/>
        <v>-6</v>
      </c>
      <c r="V59" s="18">
        <f t="shared" si="12"/>
        <v>31.5</v>
      </c>
      <c r="W59" s="6"/>
      <c r="X59" s="6"/>
      <c r="Y59" s="6"/>
      <c r="Z59" s="6"/>
      <c r="AA59" s="6"/>
      <c r="AB59" s="6"/>
    </row>
    <row r="60" spans="1:28" ht="12" hidden="1" outlineLevel="1">
      <c r="A60" s="11">
        <v>1</v>
      </c>
      <c r="B60" s="12">
        <v>10</v>
      </c>
      <c r="C60" s="12">
        <v>3</v>
      </c>
      <c r="D60" s="12">
        <v>0</v>
      </c>
      <c r="E60" s="12">
        <v>0</v>
      </c>
      <c r="Q60" s="11">
        <v>5</v>
      </c>
      <c r="R60" s="18">
        <f t="shared" si="13"/>
        <v>-3</v>
      </c>
      <c r="S60" s="18">
        <f t="shared" si="14"/>
        <v>31.5</v>
      </c>
      <c r="T60" s="11">
        <v>5</v>
      </c>
      <c r="U60" s="18">
        <f t="shared" si="15"/>
        <v>-3</v>
      </c>
      <c r="V60" s="18">
        <f t="shared" si="12"/>
        <v>31.5</v>
      </c>
      <c r="W60" s="6"/>
      <c r="X60" s="6"/>
      <c r="Y60" s="6"/>
      <c r="Z60" s="6"/>
      <c r="AA60" s="6"/>
      <c r="AB60" s="6"/>
    </row>
    <row r="61" spans="1:28" ht="12" hidden="1" outlineLevel="1">
      <c r="A61" s="15">
        <v>2</v>
      </c>
      <c r="B61" s="12">
        <v>7.5</v>
      </c>
      <c r="C61" s="12">
        <v>23.5</v>
      </c>
      <c r="D61" s="12">
        <v>2</v>
      </c>
      <c r="E61" s="12">
        <v>0</v>
      </c>
      <c r="Q61" s="11">
        <v>6</v>
      </c>
      <c r="R61" s="18">
        <f t="shared" si="13"/>
        <v>-3</v>
      </c>
      <c r="S61" s="18">
        <f t="shared" si="14"/>
        <v>31.5</v>
      </c>
      <c r="T61" s="11">
        <v>6</v>
      </c>
      <c r="U61" s="18">
        <f t="shared" si="15"/>
        <v>-3</v>
      </c>
      <c r="V61" s="18">
        <f t="shared" si="12"/>
        <v>31.5</v>
      </c>
      <c r="W61" s="6"/>
      <c r="X61" s="6"/>
      <c r="Y61" s="6"/>
      <c r="Z61" s="6"/>
      <c r="AA61" s="6"/>
      <c r="AB61" s="6"/>
    </row>
    <row r="62" spans="1:28" ht="12" hidden="1" outlineLevel="1">
      <c r="A62" s="15">
        <v>3</v>
      </c>
      <c r="B62" s="12">
        <v>3</v>
      </c>
      <c r="C62" s="12">
        <v>4</v>
      </c>
      <c r="D62" s="12">
        <v>5</v>
      </c>
      <c r="E62" s="12">
        <v>0</v>
      </c>
      <c r="Q62" s="11">
        <v>7</v>
      </c>
      <c r="R62" s="18">
        <f t="shared" si="13"/>
        <v>-3</v>
      </c>
      <c r="S62" s="18">
        <f t="shared" si="14"/>
        <v>31.5</v>
      </c>
      <c r="T62" s="11">
        <v>7</v>
      </c>
      <c r="U62" s="18">
        <f t="shared" si="15"/>
        <v>-3</v>
      </c>
      <c r="V62" s="18">
        <f t="shared" si="12"/>
        <v>31.5</v>
      </c>
      <c r="W62" s="6"/>
      <c r="X62" s="6"/>
      <c r="Y62" s="6"/>
      <c r="Z62" s="6"/>
      <c r="AA62" s="6"/>
      <c r="AB62" s="6"/>
    </row>
    <row r="63" spans="1:28" ht="12" hidden="1" outlineLevel="1">
      <c r="A63" s="15"/>
      <c r="B63" s="15"/>
      <c r="C63" s="15"/>
      <c r="D63" s="15"/>
      <c r="E63" s="15"/>
      <c r="Q63" s="11">
        <v>8</v>
      </c>
      <c r="R63" s="18">
        <f t="shared" si="13"/>
        <v>-3</v>
      </c>
      <c r="S63" s="18">
        <f t="shared" si="14"/>
        <v>31.5</v>
      </c>
      <c r="T63" s="11">
        <v>8</v>
      </c>
      <c r="U63" s="18">
        <f t="shared" si="15"/>
        <v>-3</v>
      </c>
      <c r="V63" s="18">
        <f t="shared" si="12"/>
        <v>31.5</v>
      </c>
      <c r="W63" s="6"/>
      <c r="X63" s="6"/>
      <c r="Y63" s="6"/>
      <c r="Z63" s="6"/>
      <c r="AA63" s="6"/>
      <c r="AB63" s="6"/>
    </row>
    <row r="64" spans="1:28" ht="12" hidden="1" outlineLevel="1">
      <c r="A64" s="15"/>
      <c r="B64" s="15"/>
      <c r="C64" s="15"/>
      <c r="D64" s="15"/>
      <c r="E64" s="15"/>
      <c r="Q64" s="11">
        <v>9</v>
      </c>
      <c r="R64" s="18">
        <f t="shared" si="13"/>
        <v>-3</v>
      </c>
      <c r="S64" s="18">
        <f t="shared" si="14"/>
        <v>31.5</v>
      </c>
      <c r="T64" s="11">
        <v>9</v>
      </c>
      <c r="U64" s="18">
        <f t="shared" si="15"/>
        <v>-3</v>
      </c>
      <c r="V64" s="18">
        <f t="shared" si="12"/>
        <v>31.5</v>
      </c>
      <c r="W64" s="6"/>
      <c r="X64" s="6"/>
      <c r="Y64" s="6"/>
      <c r="Z64" s="6"/>
      <c r="AA64" s="6"/>
      <c r="AB64" s="6"/>
    </row>
    <row r="65" spans="1:28" ht="12" hidden="1" outlineLevel="1">
      <c r="A65" s="15"/>
      <c r="B65" s="15"/>
      <c r="C65" s="15"/>
      <c r="D65" s="15"/>
      <c r="E65" s="15"/>
      <c r="Q65" s="11">
        <v>10</v>
      </c>
      <c r="R65" s="18">
        <f t="shared" si="13"/>
        <v>-3</v>
      </c>
      <c r="S65" s="18">
        <f t="shared" si="14"/>
        <v>31.5</v>
      </c>
      <c r="T65" s="11">
        <v>10</v>
      </c>
      <c r="U65" s="18">
        <f t="shared" si="15"/>
        <v>-3</v>
      </c>
      <c r="V65" s="18">
        <f t="shared" si="12"/>
        <v>31.5</v>
      </c>
      <c r="W65" s="6"/>
      <c r="X65" s="6"/>
      <c r="Y65" s="6"/>
      <c r="Z65" s="6"/>
      <c r="AA65" s="6"/>
      <c r="AB65" s="6"/>
    </row>
    <row r="66" spans="1:28" ht="12" hidden="1" outlineLevel="1">
      <c r="A66" s="15"/>
      <c r="B66" s="15"/>
      <c r="C66" s="15"/>
      <c r="D66" s="15"/>
      <c r="E66" s="15"/>
      <c r="Q66" s="11">
        <v>11</v>
      </c>
      <c r="R66" s="18">
        <f t="shared" si="13"/>
        <v>-3</v>
      </c>
      <c r="S66" s="18">
        <f t="shared" si="14"/>
        <v>31.5</v>
      </c>
      <c r="T66" s="11">
        <v>11</v>
      </c>
      <c r="U66" s="18">
        <f t="shared" si="15"/>
        <v>-3</v>
      </c>
      <c r="V66" s="18">
        <f t="shared" si="12"/>
        <v>31.5</v>
      </c>
      <c r="W66" s="6"/>
      <c r="X66" s="6"/>
      <c r="Y66" s="6"/>
      <c r="Z66" s="6"/>
      <c r="AA66" s="6"/>
      <c r="AB66" s="6"/>
    </row>
    <row r="67" spans="1:5" ht="12" hidden="1" outlineLevel="1">
      <c r="A67" s="15"/>
      <c r="B67" s="15"/>
      <c r="C67" s="15"/>
      <c r="D67" s="15"/>
      <c r="E67" s="15"/>
    </row>
    <row r="68" spans="1:17" ht="12" hidden="1" outlineLevel="1">
      <c r="A68" s="15"/>
      <c r="B68" s="15"/>
      <c r="C68" s="15"/>
      <c r="D68" s="15"/>
      <c r="E68" s="15"/>
      <c r="Q68" s="3" t="s">
        <v>26</v>
      </c>
    </row>
    <row r="69" spans="1:40" ht="12" hidden="1" outlineLevel="1">
      <c r="A69" s="15"/>
      <c r="B69" s="15"/>
      <c r="C69" s="15"/>
      <c r="D69" s="15"/>
      <c r="E69" s="15"/>
      <c r="Q69" s="9" t="s">
        <v>22</v>
      </c>
      <c r="R69" s="11">
        <v>1</v>
      </c>
      <c r="S69" s="11">
        <v>2</v>
      </c>
      <c r="T69" s="11">
        <v>3</v>
      </c>
      <c r="U69" s="11">
        <v>4</v>
      </c>
      <c r="V69" s="11">
        <v>5</v>
      </c>
      <c r="W69" s="11">
        <v>6</v>
      </c>
      <c r="X69" s="11">
        <v>7</v>
      </c>
      <c r="Y69" s="11">
        <v>8</v>
      </c>
      <c r="Z69" s="11">
        <v>9</v>
      </c>
      <c r="AA69" s="11">
        <v>10</v>
      </c>
      <c r="AB69" s="11">
        <v>11</v>
      </c>
      <c r="AC69" s="11">
        <v>11</v>
      </c>
      <c r="AD69" s="11">
        <v>10</v>
      </c>
      <c r="AE69" s="11">
        <v>9</v>
      </c>
      <c r="AF69" s="11">
        <v>8</v>
      </c>
      <c r="AG69" s="11">
        <v>7</v>
      </c>
      <c r="AH69" s="11">
        <v>6</v>
      </c>
      <c r="AI69" s="11">
        <v>5</v>
      </c>
      <c r="AJ69" s="11">
        <v>4</v>
      </c>
      <c r="AK69" s="11">
        <v>3</v>
      </c>
      <c r="AL69" s="11">
        <v>2</v>
      </c>
      <c r="AM69" s="11">
        <v>1</v>
      </c>
      <c r="AN69" s="11">
        <v>1</v>
      </c>
    </row>
    <row r="70" spans="17:40" ht="12" hidden="1" outlineLevel="1">
      <c r="Q70" s="16" t="s">
        <v>20</v>
      </c>
      <c r="R70" s="18">
        <f>R56</f>
        <v>4</v>
      </c>
      <c r="S70" s="18">
        <f>R57</f>
        <v>4</v>
      </c>
      <c r="T70" s="18">
        <f>R58</f>
        <v>2</v>
      </c>
      <c r="U70" s="18">
        <f>R59</f>
        <v>-3</v>
      </c>
      <c r="V70" s="18">
        <f>R60</f>
        <v>-3</v>
      </c>
      <c r="W70" s="18">
        <f>R61</f>
        <v>-3</v>
      </c>
      <c r="X70" s="18">
        <f>R62</f>
        <v>-3</v>
      </c>
      <c r="Y70" s="18">
        <f>R63</f>
        <v>-3</v>
      </c>
      <c r="Z70" s="18">
        <f>R64</f>
        <v>-3</v>
      </c>
      <c r="AA70" s="18">
        <f>R65</f>
        <v>-3</v>
      </c>
      <c r="AB70" s="18">
        <f>R66</f>
        <v>-3</v>
      </c>
      <c r="AC70" s="18">
        <f>U66</f>
        <v>-3</v>
      </c>
      <c r="AD70" s="18">
        <f>U65</f>
        <v>-3</v>
      </c>
      <c r="AE70" s="18">
        <f>U64</f>
        <v>-3</v>
      </c>
      <c r="AF70" s="18">
        <f>U63</f>
        <v>-3</v>
      </c>
      <c r="AG70" s="18">
        <f>U62</f>
        <v>-3</v>
      </c>
      <c r="AH70" s="18">
        <f>U61</f>
        <v>-3</v>
      </c>
      <c r="AI70" s="18">
        <f>U60</f>
        <v>-3</v>
      </c>
      <c r="AJ70" s="18">
        <f>U59</f>
        <v>-6</v>
      </c>
      <c r="AK70" s="18">
        <f>U58</f>
        <v>-5.5</v>
      </c>
      <c r="AL70" s="18">
        <f>U57</f>
        <v>-6</v>
      </c>
      <c r="AM70" s="18">
        <f>U56</f>
        <v>-8</v>
      </c>
      <c r="AN70" s="18">
        <f>R56</f>
        <v>4</v>
      </c>
    </row>
    <row r="71" spans="1:40" ht="12" hidden="1" outlineLevel="1">
      <c r="A71" s="7" t="s">
        <v>9</v>
      </c>
      <c r="Q71" s="9" t="s">
        <v>21</v>
      </c>
      <c r="R71" s="18">
        <f>S56</f>
        <v>1</v>
      </c>
      <c r="S71" s="18">
        <f>S57</f>
        <v>4</v>
      </c>
      <c r="T71" s="18">
        <f>S58</f>
        <v>27.5</v>
      </c>
      <c r="U71" s="18">
        <f>S59</f>
        <v>31.5</v>
      </c>
      <c r="V71" s="18">
        <f>S60</f>
        <v>31.5</v>
      </c>
      <c r="W71" s="18">
        <f>S61</f>
        <v>31.5</v>
      </c>
      <c r="X71" s="18">
        <f>S62</f>
        <v>31.5</v>
      </c>
      <c r="Y71" s="18">
        <f>S63</f>
        <v>31.5</v>
      </c>
      <c r="Z71" s="18">
        <f>S64</f>
        <v>31.5</v>
      </c>
      <c r="AA71" s="18">
        <f>S65</f>
        <v>31.5</v>
      </c>
      <c r="AB71" s="18">
        <f>S66</f>
        <v>31.5</v>
      </c>
      <c r="AC71" s="18">
        <f>V66</f>
        <v>31.5</v>
      </c>
      <c r="AD71" s="18">
        <f>V65</f>
        <v>31.5</v>
      </c>
      <c r="AE71" s="18">
        <f>V64</f>
        <v>31.5</v>
      </c>
      <c r="AF71" s="18">
        <f>V63</f>
        <v>31.5</v>
      </c>
      <c r="AG71" s="18">
        <f>V62</f>
        <v>31.5</v>
      </c>
      <c r="AH71" s="18">
        <f>V61</f>
        <v>31.5</v>
      </c>
      <c r="AI71" s="18">
        <f>V60</f>
        <v>31.5</v>
      </c>
      <c r="AJ71" s="18">
        <f>V59</f>
        <v>31.5</v>
      </c>
      <c r="AK71" s="18">
        <f>V58</f>
        <v>27.5</v>
      </c>
      <c r="AL71" s="18">
        <f>V57</f>
        <v>4</v>
      </c>
      <c r="AM71" s="18">
        <f>V56</f>
        <v>1</v>
      </c>
      <c r="AN71" s="18">
        <f>S56</f>
        <v>1</v>
      </c>
    </row>
    <row r="72" spans="1:17" ht="12" hidden="1" outlineLevel="1">
      <c r="A72" s="11" t="s">
        <v>10</v>
      </c>
      <c r="B72" s="17">
        <v>63</v>
      </c>
      <c r="C72" s="11" t="s">
        <v>16</v>
      </c>
      <c r="D72" s="17">
        <v>0.7031375381158722</v>
      </c>
      <c r="Q72" s="3" t="s">
        <v>27</v>
      </c>
    </row>
    <row r="73" spans="1:40" ht="12" hidden="1" outlineLevel="1">
      <c r="A73" s="11" t="s">
        <v>11</v>
      </c>
      <c r="B73" s="17">
        <v>519.25</v>
      </c>
      <c r="C73" s="11" t="s">
        <v>30</v>
      </c>
      <c r="D73" s="17">
        <v>4.120868826986071</v>
      </c>
      <c r="Q73" s="9" t="s">
        <v>22</v>
      </c>
      <c r="R73" s="11">
        <v>1</v>
      </c>
      <c r="S73" s="11">
        <v>2</v>
      </c>
      <c r="T73" s="11">
        <v>3</v>
      </c>
      <c r="U73" s="11">
        <v>4</v>
      </c>
      <c r="V73" s="11">
        <v>5</v>
      </c>
      <c r="W73" s="11">
        <v>6</v>
      </c>
      <c r="X73" s="11">
        <v>7</v>
      </c>
      <c r="Y73" s="11">
        <v>8</v>
      </c>
      <c r="Z73" s="11">
        <v>9</v>
      </c>
      <c r="AA73" s="11">
        <v>10</v>
      </c>
      <c r="AB73" s="11">
        <v>11</v>
      </c>
      <c r="AC73" s="11">
        <v>11</v>
      </c>
      <c r="AD73" s="11">
        <v>10</v>
      </c>
      <c r="AE73" s="11">
        <v>9</v>
      </c>
      <c r="AF73" s="11">
        <v>8</v>
      </c>
      <c r="AG73" s="11">
        <v>7</v>
      </c>
      <c r="AH73" s="11">
        <v>6</v>
      </c>
      <c r="AI73" s="11">
        <v>5</v>
      </c>
      <c r="AJ73" s="11">
        <v>4</v>
      </c>
      <c r="AK73" s="11">
        <v>3</v>
      </c>
      <c r="AL73" s="11">
        <v>2</v>
      </c>
      <c r="AM73" s="11">
        <v>1</v>
      </c>
      <c r="AN73" s="11">
        <v>1</v>
      </c>
    </row>
    <row r="74" spans="1:40" ht="12" hidden="1" outlineLevel="1">
      <c r="A74" s="11" t="s">
        <v>12</v>
      </c>
      <c r="B74" s="17">
        <v>7.643716899374097</v>
      </c>
      <c r="C74" s="11" t="s">
        <v>31</v>
      </c>
      <c r="D74" s="17">
        <v>7.43172097438897</v>
      </c>
      <c r="Q74" s="16" t="s">
        <v>20</v>
      </c>
      <c r="R74" s="18">
        <f>R70</f>
        <v>4</v>
      </c>
      <c r="S74" s="18">
        <f aca="true" t="shared" si="16" ref="S74:AN74">S70</f>
        <v>4</v>
      </c>
      <c r="T74" s="18">
        <f t="shared" si="16"/>
        <v>2</v>
      </c>
      <c r="U74" s="18">
        <f t="shared" si="16"/>
        <v>-3</v>
      </c>
      <c r="V74" s="18">
        <f t="shared" si="16"/>
        <v>-3</v>
      </c>
      <c r="W74" s="18">
        <f t="shared" si="16"/>
        <v>-3</v>
      </c>
      <c r="X74" s="18">
        <f t="shared" si="16"/>
        <v>-3</v>
      </c>
      <c r="Y74" s="18">
        <f t="shared" si="16"/>
        <v>-3</v>
      </c>
      <c r="Z74" s="18">
        <f t="shared" si="16"/>
        <v>-3</v>
      </c>
      <c r="AA74" s="18">
        <f t="shared" si="16"/>
        <v>-3</v>
      </c>
      <c r="AB74" s="18">
        <f t="shared" si="16"/>
        <v>-3</v>
      </c>
      <c r="AC74" s="18">
        <f t="shared" si="16"/>
        <v>-3</v>
      </c>
      <c r="AD74" s="18">
        <f t="shared" si="16"/>
        <v>-3</v>
      </c>
      <c r="AE74" s="18">
        <f t="shared" si="16"/>
        <v>-3</v>
      </c>
      <c r="AF74" s="18">
        <f t="shared" si="16"/>
        <v>-3</v>
      </c>
      <c r="AG74" s="18">
        <f t="shared" si="16"/>
        <v>-3</v>
      </c>
      <c r="AH74" s="18">
        <f t="shared" si="16"/>
        <v>-3</v>
      </c>
      <c r="AI74" s="18">
        <f t="shared" si="16"/>
        <v>-3</v>
      </c>
      <c r="AJ74" s="18">
        <f t="shared" si="16"/>
        <v>-6</v>
      </c>
      <c r="AK74" s="18">
        <f t="shared" si="16"/>
        <v>-5.5</v>
      </c>
      <c r="AL74" s="18">
        <f t="shared" si="16"/>
        <v>-6</v>
      </c>
      <c r="AM74" s="18">
        <f t="shared" si="16"/>
        <v>-8</v>
      </c>
      <c r="AN74" s="18">
        <f t="shared" si="16"/>
        <v>4</v>
      </c>
    </row>
    <row r="75" spans="1:40" ht="12" hidden="1" outlineLevel="1">
      <c r="A75" s="11" t="s">
        <v>13</v>
      </c>
      <c r="B75" s="17">
        <v>-1.5043331728454499</v>
      </c>
      <c r="C75" s="11" t="s">
        <v>17</v>
      </c>
      <c r="D75" s="17">
        <v>0.7122950819672131</v>
      </c>
      <c r="F75" s="1"/>
      <c r="G75" s="1"/>
      <c r="H75" s="1"/>
      <c r="I75" s="1"/>
      <c r="J75" s="1"/>
      <c r="K75" s="1"/>
      <c r="L75" s="1"/>
      <c r="M75" s="1"/>
      <c r="Q75" s="9" t="s">
        <v>21</v>
      </c>
      <c r="R75" s="18">
        <f>-R71</f>
        <v>-1</v>
      </c>
      <c r="S75" s="18">
        <f aca="true" t="shared" si="17" ref="S75:AN75">-S71</f>
        <v>-4</v>
      </c>
      <c r="T75" s="18">
        <f t="shared" si="17"/>
        <v>-27.5</v>
      </c>
      <c r="U75" s="18">
        <f t="shared" si="17"/>
        <v>-31.5</v>
      </c>
      <c r="V75" s="18">
        <f t="shared" si="17"/>
        <v>-31.5</v>
      </c>
      <c r="W75" s="18">
        <f t="shared" si="17"/>
        <v>-31.5</v>
      </c>
      <c r="X75" s="18">
        <f t="shared" si="17"/>
        <v>-31.5</v>
      </c>
      <c r="Y75" s="18">
        <f t="shared" si="17"/>
        <v>-31.5</v>
      </c>
      <c r="Z75" s="18">
        <f t="shared" si="17"/>
        <v>-31.5</v>
      </c>
      <c r="AA75" s="18">
        <f t="shared" si="17"/>
        <v>-31.5</v>
      </c>
      <c r="AB75" s="18">
        <f t="shared" si="17"/>
        <v>-31.5</v>
      </c>
      <c r="AC75" s="18">
        <f t="shared" si="17"/>
        <v>-31.5</v>
      </c>
      <c r="AD75" s="18">
        <f t="shared" si="17"/>
        <v>-31.5</v>
      </c>
      <c r="AE75" s="18">
        <f t="shared" si="17"/>
        <v>-31.5</v>
      </c>
      <c r="AF75" s="18">
        <f t="shared" si="17"/>
        <v>-31.5</v>
      </c>
      <c r="AG75" s="18">
        <f t="shared" si="17"/>
        <v>-31.5</v>
      </c>
      <c r="AH75" s="18">
        <f t="shared" si="17"/>
        <v>-31.5</v>
      </c>
      <c r="AI75" s="18">
        <f t="shared" si="17"/>
        <v>-31.5</v>
      </c>
      <c r="AJ75" s="18">
        <f t="shared" si="17"/>
        <v>-31.5</v>
      </c>
      <c r="AK75" s="18">
        <f t="shared" si="17"/>
        <v>-27.5</v>
      </c>
      <c r="AL75" s="18">
        <f t="shared" si="17"/>
        <v>-4</v>
      </c>
      <c r="AM75" s="18">
        <f t="shared" si="17"/>
        <v>-1</v>
      </c>
      <c r="AN75" s="18">
        <f t="shared" si="17"/>
        <v>-1</v>
      </c>
    </row>
    <row r="76" spans="1:13" ht="12" hidden="1" outlineLevel="1">
      <c r="A76" s="11" t="s">
        <v>14</v>
      </c>
      <c r="B76" s="17">
        <v>14.70598619804205</v>
      </c>
      <c r="C76" s="11" t="s">
        <v>32</v>
      </c>
      <c r="D76" s="17">
        <v>4.841319089077023</v>
      </c>
      <c r="F76" s="1"/>
      <c r="G76" s="1"/>
      <c r="H76" s="1"/>
      <c r="I76" s="1"/>
      <c r="J76" s="1"/>
      <c r="K76" s="1"/>
      <c r="L76" s="1"/>
      <c r="M76" s="1"/>
    </row>
    <row r="77" spans="1:13" ht="12" hidden="1" outlineLevel="1">
      <c r="A77" s="11" t="s">
        <v>15</v>
      </c>
      <c r="B77" s="17">
        <v>8.829882843845288</v>
      </c>
      <c r="F77" s="1"/>
      <c r="G77" s="1"/>
      <c r="H77" s="1"/>
      <c r="I77" s="1"/>
      <c r="J77" s="1"/>
      <c r="K77" s="1"/>
      <c r="L77" s="1"/>
      <c r="M77" s="1"/>
    </row>
    <row r="78" ht="12" hidden="1" outlineLevel="1"/>
    <row r="79" ht="12" collapsed="1"/>
  </sheetData>
  <sheetProtection password="AE35" sheet="1" objects="1" scenarios="1" formatCells="0"/>
  <printOptions/>
  <pageMargins left="0.75" right="0.75" top="1" bottom="1" header="0.5" footer="0.5"/>
  <pageSetup horizontalDpi="600" verticalDpi="600" orientation="portrait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N51"/>
  <sheetViews>
    <sheetView showGridLines="0" workbookViewId="0" topLeftCell="A1">
      <selection activeCell="E62" sqref="E62"/>
    </sheetView>
  </sheetViews>
  <sheetFormatPr defaultColWidth="8.8515625" defaultRowHeight="12.75" outlineLevelRow="1"/>
  <cols>
    <col min="1" max="5" width="12.7109375" style="0" customWidth="1"/>
  </cols>
  <sheetData>
    <row r="1" spans="1:40" ht="12.75">
      <c r="A1" s="2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2" outlineLevel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 t="s">
        <v>23</v>
      </c>
      <c r="R2" s="5"/>
      <c r="S2" s="5"/>
      <c r="T2" s="4" t="s">
        <v>24</v>
      </c>
      <c r="U2" s="3"/>
      <c r="V2" s="3"/>
      <c r="W2" s="6"/>
      <c r="X2" s="6" t="s">
        <v>33</v>
      </c>
      <c r="Y2" s="6"/>
      <c r="Z2" s="6"/>
      <c r="AA2" s="6"/>
      <c r="AB2" s="6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2" outlineLevel="1">
      <c r="A3" s="7" t="s">
        <v>8</v>
      </c>
      <c r="B3" s="3"/>
      <c r="C3" s="3"/>
      <c r="D3" s="3"/>
      <c r="E3" s="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22</v>
      </c>
      <c r="R3" s="9" t="s">
        <v>20</v>
      </c>
      <c r="S3" s="9" t="s">
        <v>21</v>
      </c>
      <c r="T3" s="9" t="s">
        <v>22</v>
      </c>
      <c r="U3" s="9" t="s">
        <v>20</v>
      </c>
      <c r="V3" s="9" t="s">
        <v>21</v>
      </c>
      <c r="W3" s="10"/>
      <c r="X3" s="9" t="s">
        <v>22</v>
      </c>
      <c r="Y3" s="9" t="s">
        <v>20</v>
      </c>
      <c r="Z3" s="9" t="s">
        <v>21</v>
      </c>
      <c r="AA3" s="10"/>
      <c r="AB3" s="10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2" outlineLevel="1">
      <c r="A4" s="11" t="s">
        <v>1</v>
      </c>
      <c r="B4" s="11" t="s">
        <v>2</v>
      </c>
      <c r="C4" s="11" t="s">
        <v>25</v>
      </c>
      <c r="D4" s="15" t="s">
        <v>29</v>
      </c>
      <c r="E4" s="9" t="s">
        <v>28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1">
        <v>1</v>
      </c>
      <c r="R4" s="18">
        <f>C5</f>
        <v>-37</v>
      </c>
      <c r="S4" s="18">
        <f>B5</f>
        <v>0</v>
      </c>
      <c r="T4" s="11">
        <v>1</v>
      </c>
      <c r="U4" s="18">
        <f>C5-A5</f>
        <v>-41.75</v>
      </c>
      <c r="V4" s="18">
        <f>S4</f>
        <v>0</v>
      </c>
      <c r="W4" s="6"/>
      <c r="X4" s="11">
        <v>1</v>
      </c>
      <c r="Y4" s="18">
        <f>B24</f>
        <v>4.84848484848485</v>
      </c>
      <c r="Z4" s="18">
        <f>B23+0.5*B25</f>
        <v>-37.68398268398269</v>
      </c>
      <c r="AA4" s="6"/>
      <c r="AB4" s="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2" outlineLevel="1">
      <c r="A5" s="12">
        <v>4.75</v>
      </c>
      <c r="B5" s="12">
        <v>0</v>
      </c>
      <c r="C5" s="12">
        <v>-37</v>
      </c>
      <c r="D5" s="12">
        <v>1.25</v>
      </c>
      <c r="E5" s="12">
        <v>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1">
        <v>2</v>
      </c>
      <c r="R5" s="18">
        <f>R4-D8</f>
        <v>-38</v>
      </c>
      <c r="S5" s="18">
        <f aca="true" t="shared" si="0" ref="S5:S14">S4+C8</f>
        <v>8</v>
      </c>
      <c r="T5" s="11">
        <v>2</v>
      </c>
      <c r="U5" s="18">
        <f>R5-B8</f>
        <v>-41</v>
      </c>
      <c r="V5" s="18">
        <f aca="true" t="shared" si="1" ref="V5:V14">S5</f>
        <v>8</v>
      </c>
      <c r="W5" s="6"/>
      <c r="X5" s="11">
        <v>2</v>
      </c>
      <c r="Y5" s="18">
        <f>B24</f>
        <v>4.84848484848485</v>
      </c>
      <c r="Z5" s="18">
        <f>D20</f>
        <v>-38.57954545454546</v>
      </c>
      <c r="AA5" s="6"/>
      <c r="AB5" s="6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2" outlineLevel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1">
        <v>3</v>
      </c>
      <c r="R6" s="18">
        <f aca="true" t="shared" si="2" ref="R6:R14">R5-D9</f>
        <v>-39.5</v>
      </c>
      <c r="S6" s="18">
        <f t="shared" si="0"/>
        <v>12</v>
      </c>
      <c r="T6" s="11">
        <v>3</v>
      </c>
      <c r="U6" s="18">
        <f aca="true" t="shared" si="3" ref="U6:U14">R6-B9</f>
        <v>-40.25</v>
      </c>
      <c r="V6" s="18">
        <f t="shared" si="1"/>
        <v>12</v>
      </c>
      <c r="W6" s="6"/>
      <c r="X6" s="11">
        <v>3</v>
      </c>
      <c r="Y6" s="18">
        <f>B24</f>
        <v>4.84848484848485</v>
      </c>
      <c r="Z6" s="18">
        <f>B23-0.5*B25</f>
        <v>-41.26623376623377</v>
      </c>
      <c r="AA6" s="6"/>
      <c r="AB6" s="6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2" outlineLevel="1">
      <c r="A7" s="13" t="s">
        <v>3</v>
      </c>
      <c r="B7" s="13" t="s">
        <v>4</v>
      </c>
      <c r="C7" s="13" t="s">
        <v>5</v>
      </c>
      <c r="D7" s="13" t="s">
        <v>6</v>
      </c>
      <c r="E7" s="20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1">
        <v>4</v>
      </c>
      <c r="R7" s="18">
        <f t="shared" si="2"/>
        <v>-39.5</v>
      </c>
      <c r="S7" s="18">
        <f t="shared" si="0"/>
        <v>12</v>
      </c>
      <c r="T7" s="11">
        <v>4</v>
      </c>
      <c r="U7" s="18">
        <f t="shared" si="3"/>
        <v>-39.5</v>
      </c>
      <c r="V7" s="18">
        <f t="shared" si="1"/>
        <v>12</v>
      </c>
      <c r="W7" s="6"/>
      <c r="X7" s="6"/>
      <c r="Y7" s="6"/>
      <c r="Z7" s="6"/>
      <c r="AA7" s="6"/>
      <c r="AB7" s="6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2" outlineLevel="1">
      <c r="A8" s="11">
        <v>1</v>
      </c>
      <c r="B8" s="12">
        <v>3</v>
      </c>
      <c r="C8" s="12">
        <v>8</v>
      </c>
      <c r="D8" s="12">
        <v>1</v>
      </c>
      <c r="E8" s="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1">
        <v>5</v>
      </c>
      <c r="R8" s="18">
        <f t="shared" si="2"/>
        <v>-39.5</v>
      </c>
      <c r="S8" s="18">
        <f t="shared" si="0"/>
        <v>12</v>
      </c>
      <c r="T8" s="11">
        <v>5</v>
      </c>
      <c r="U8" s="18">
        <f t="shared" si="3"/>
        <v>-39.5</v>
      </c>
      <c r="V8" s="18">
        <f t="shared" si="1"/>
        <v>12</v>
      </c>
      <c r="W8" s="6"/>
      <c r="X8" s="6"/>
      <c r="Y8" s="6"/>
      <c r="Z8" s="6"/>
      <c r="AA8" s="6"/>
      <c r="AB8" s="6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2" outlineLevel="1">
      <c r="A9" s="15">
        <v>2</v>
      </c>
      <c r="B9" s="12">
        <v>0.75</v>
      </c>
      <c r="C9" s="12">
        <v>4</v>
      </c>
      <c r="D9" s="12">
        <v>1.5</v>
      </c>
      <c r="E9" s="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1">
        <v>6</v>
      </c>
      <c r="R9" s="18">
        <f t="shared" si="2"/>
        <v>-39.5</v>
      </c>
      <c r="S9" s="18">
        <f t="shared" si="0"/>
        <v>12</v>
      </c>
      <c r="T9" s="11">
        <v>6</v>
      </c>
      <c r="U9" s="18">
        <f t="shared" si="3"/>
        <v>-39.5</v>
      </c>
      <c r="V9" s="18">
        <f t="shared" si="1"/>
        <v>12</v>
      </c>
      <c r="W9" s="6"/>
      <c r="X9" s="6"/>
      <c r="Y9" s="6"/>
      <c r="Z9" s="6"/>
      <c r="AA9" s="6"/>
      <c r="AB9" s="6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2" outlineLevel="1">
      <c r="A10" s="15">
        <v>3</v>
      </c>
      <c r="B10" s="12">
        <v>0</v>
      </c>
      <c r="C10" s="12">
        <v>0</v>
      </c>
      <c r="D10" s="12">
        <v>0</v>
      </c>
      <c r="E10" s="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1">
        <v>7</v>
      </c>
      <c r="R10" s="18">
        <f t="shared" si="2"/>
        <v>-39.5</v>
      </c>
      <c r="S10" s="18">
        <f t="shared" si="0"/>
        <v>12</v>
      </c>
      <c r="T10" s="11">
        <v>7</v>
      </c>
      <c r="U10" s="18">
        <f t="shared" si="3"/>
        <v>-39.5</v>
      </c>
      <c r="V10" s="18">
        <f t="shared" si="1"/>
        <v>12</v>
      </c>
      <c r="W10" s="6"/>
      <c r="X10" s="6"/>
      <c r="Y10" s="6"/>
      <c r="Z10" s="6"/>
      <c r="AA10" s="6"/>
      <c r="AB10" s="6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2" outlineLevel="1">
      <c r="A11" s="15"/>
      <c r="B11" s="15"/>
      <c r="C11" s="15"/>
      <c r="D11" s="15"/>
      <c r="E11" s="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1">
        <v>8</v>
      </c>
      <c r="R11" s="18">
        <f t="shared" si="2"/>
        <v>-39.5</v>
      </c>
      <c r="S11" s="18">
        <f t="shared" si="0"/>
        <v>12</v>
      </c>
      <c r="T11" s="11">
        <v>8</v>
      </c>
      <c r="U11" s="18">
        <f t="shared" si="3"/>
        <v>-39.5</v>
      </c>
      <c r="V11" s="18">
        <f t="shared" si="1"/>
        <v>12</v>
      </c>
      <c r="W11" s="6"/>
      <c r="X11" s="6"/>
      <c r="Y11" s="6"/>
      <c r="Z11" s="6"/>
      <c r="AA11" s="6"/>
      <c r="AB11" s="6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12" outlineLevel="1">
      <c r="A12" s="15"/>
      <c r="B12" s="15"/>
      <c r="C12" s="15"/>
      <c r="D12" s="15"/>
      <c r="E12" s="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1">
        <v>9</v>
      </c>
      <c r="R12" s="18">
        <f t="shared" si="2"/>
        <v>-39.5</v>
      </c>
      <c r="S12" s="18">
        <f t="shared" si="0"/>
        <v>12</v>
      </c>
      <c r="T12" s="11">
        <v>9</v>
      </c>
      <c r="U12" s="18">
        <f t="shared" si="3"/>
        <v>-39.5</v>
      </c>
      <c r="V12" s="18">
        <f t="shared" si="1"/>
        <v>12</v>
      </c>
      <c r="W12" s="6"/>
      <c r="X12" s="6"/>
      <c r="Y12" s="6"/>
      <c r="Z12" s="6"/>
      <c r="AA12" s="6"/>
      <c r="AB12" s="6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2" outlineLevel="1">
      <c r="A13" s="15"/>
      <c r="B13" s="15"/>
      <c r="C13" s="15"/>
      <c r="D13" s="15"/>
      <c r="E13" s="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1">
        <v>10</v>
      </c>
      <c r="R13" s="18">
        <f t="shared" si="2"/>
        <v>-39.5</v>
      </c>
      <c r="S13" s="18">
        <f t="shared" si="0"/>
        <v>12</v>
      </c>
      <c r="T13" s="11">
        <v>10</v>
      </c>
      <c r="U13" s="18">
        <f t="shared" si="3"/>
        <v>-39.5</v>
      </c>
      <c r="V13" s="18">
        <f t="shared" si="1"/>
        <v>12</v>
      </c>
      <c r="W13" s="6"/>
      <c r="X13" s="6"/>
      <c r="Y13" s="6"/>
      <c r="Z13" s="6"/>
      <c r="AA13" s="6"/>
      <c r="AB13" s="6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2" outlineLevel="1">
      <c r="A14" s="15"/>
      <c r="B14" s="15"/>
      <c r="C14" s="15"/>
      <c r="D14" s="15"/>
      <c r="E14" s="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1">
        <v>11</v>
      </c>
      <c r="R14" s="18">
        <f t="shared" si="2"/>
        <v>-39.5</v>
      </c>
      <c r="S14" s="18">
        <f t="shared" si="0"/>
        <v>12</v>
      </c>
      <c r="T14" s="11">
        <v>11</v>
      </c>
      <c r="U14" s="18">
        <f t="shared" si="3"/>
        <v>-39.5</v>
      </c>
      <c r="V14" s="18">
        <f t="shared" si="1"/>
        <v>12</v>
      </c>
      <c r="W14" s="6"/>
      <c r="X14" s="6"/>
      <c r="Y14" s="6"/>
      <c r="Z14" s="6"/>
      <c r="AA14" s="6"/>
      <c r="AB14" s="6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2" outlineLevel="1">
      <c r="A15" s="15"/>
      <c r="B15" s="15"/>
      <c r="C15" s="15"/>
      <c r="D15" s="15"/>
      <c r="E15" s="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12" outlineLevel="1">
      <c r="A16" s="15"/>
      <c r="B16" s="15"/>
      <c r="C16" s="15"/>
      <c r="D16" s="15"/>
      <c r="E16" s="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 t="s">
        <v>36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2" outlineLevel="1">
      <c r="A17" s="15"/>
      <c r="B17" s="15"/>
      <c r="C17" s="15"/>
      <c r="D17" s="15"/>
      <c r="E17" s="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9" t="s">
        <v>22</v>
      </c>
      <c r="R17" s="11">
        <v>1</v>
      </c>
      <c r="S17" s="11">
        <v>2</v>
      </c>
      <c r="T17" s="11">
        <v>3</v>
      </c>
      <c r="U17" s="11">
        <v>4</v>
      </c>
      <c r="V17" s="11">
        <v>5</v>
      </c>
      <c r="W17" s="11">
        <v>6</v>
      </c>
      <c r="X17" s="11">
        <v>7</v>
      </c>
      <c r="Y17" s="11">
        <v>8</v>
      </c>
      <c r="Z17" s="11">
        <v>9</v>
      </c>
      <c r="AA17" s="11">
        <v>10</v>
      </c>
      <c r="AB17" s="11">
        <v>11</v>
      </c>
      <c r="AC17" s="11">
        <v>11</v>
      </c>
      <c r="AD17" s="11">
        <v>10</v>
      </c>
      <c r="AE17" s="11">
        <v>9</v>
      </c>
      <c r="AF17" s="11">
        <v>8</v>
      </c>
      <c r="AG17" s="11">
        <v>7</v>
      </c>
      <c r="AH17" s="11">
        <v>6</v>
      </c>
      <c r="AI17" s="11">
        <v>5</v>
      </c>
      <c r="AJ17" s="11">
        <v>4</v>
      </c>
      <c r="AK17" s="11">
        <v>3</v>
      </c>
      <c r="AL17" s="11">
        <v>2</v>
      </c>
      <c r="AM17" s="11">
        <v>1</v>
      </c>
      <c r="AN17" s="11">
        <v>1</v>
      </c>
    </row>
    <row r="18" spans="1:40" ht="12" outlineLevel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6" t="s">
        <v>20</v>
      </c>
      <c r="R18" s="18">
        <f>R4</f>
        <v>-37</v>
      </c>
      <c r="S18" s="18">
        <f>R5</f>
        <v>-38</v>
      </c>
      <c r="T18" s="18">
        <f>R6</f>
        <v>-39.5</v>
      </c>
      <c r="U18" s="18">
        <f>R7</f>
        <v>-39.5</v>
      </c>
      <c r="V18" s="18">
        <f>R8</f>
        <v>-39.5</v>
      </c>
      <c r="W18" s="18">
        <f>R9</f>
        <v>-39.5</v>
      </c>
      <c r="X18" s="18">
        <f>R10</f>
        <v>-39.5</v>
      </c>
      <c r="Y18" s="18">
        <f>R11</f>
        <v>-39.5</v>
      </c>
      <c r="Z18" s="18">
        <f>R12</f>
        <v>-39.5</v>
      </c>
      <c r="AA18" s="18">
        <f>R13</f>
        <v>-39.5</v>
      </c>
      <c r="AB18" s="18">
        <f>R14</f>
        <v>-39.5</v>
      </c>
      <c r="AC18" s="18">
        <f>U14</f>
        <v>-39.5</v>
      </c>
      <c r="AD18" s="18">
        <f>U13</f>
        <v>-39.5</v>
      </c>
      <c r="AE18" s="18">
        <f>U12</f>
        <v>-39.5</v>
      </c>
      <c r="AF18" s="18">
        <f>U11</f>
        <v>-39.5</v>
      </c>
      <c r="AG18" s="18">
        <f>U10</f>
        <v>-39.5</v>
      </c>
      <c r="AH18" s="18">
        <f>U9</f>
        <v>-39.5</v>
      </c>
      <c r="AI18" s="18">
        <f>U8</f>
        <v>-39.5</v>
      </c>
      <c r="AJ18" s="18">
        <f>U7</f>
        <v>-39.5</v>
      </c>
      <c r="AK18" s="18">
        <f>U6</f>
        <v>-40.25</v>
      </c>
      <c r="AL18" s="18">
        <f>U5</f>
        <v>-41</v>
      </c>
      <c r="AM18" s="18">
        <f>U4</f>
        <v>-41.75</v>
      </c>
      <c r="AN18" s="18">
        <f>R4</f>
        <v>-37</v>
      </c>
    </row>
    <row r="19" spans="1:40" ht="12" outlineLevel="1">
      <c r="A19" s="7" t="s">
        <v>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9" t="s">
        <v>21</v>
      </c>
      <c r="R19" s="18">
        <f>S4</f>
        <v>0</v>
      </c>
      <c r="S19" s="18">
        <f>S5</f>
        <v>8</v>
      </c>
      <c r="T19" s="18">
        <f>S6</f>
        <v>12</v>
      </c>
      <c r="U19" s="18">
        <f>S7</f>
        <v>12</v>
      </c>
      <c r="V19" s="18">
        <f>S8</f>
        <v>12</v>
      </c>
      <c r="W19" s="18">
        <f>S9</f>
        <v>12</v>
      </c>
      <c r="X19" s="18">
        <f>S10</f>
        <v>12</v>
      </c>
      <c r="Y19" s="18">
        <f>S11</f>
        <v>12</v>
      </c>
      <c r="Z19" s="18">
        <f>S12</f>
        <v>12</v>
      </c>
      <c r="AA19" s="18">
        <f>S13</f>
        <v>12</v>
      </c>
      <c r="AB19" s="18">
        <f>S14</f>
        <v>12</v>
      </c>
      <c r="AC19" s="18">
        <f>V14</f>
        <v>12</v>
      </c>
      <c r="AD19" s="18">
        <f>V13</f>
        <v>12</v>
      </c>
      <c r="AE19" s="18">
        <f>V12</f>
        <v>12</v>
      </c>
      <c r="AF19" s="18">
        <f>V11</f>
        <v>12</v>
      </c>
      <c r="AG19" s="18">
        <f>V10</f>
        <v>12</v>
      </c>
      <c r="AH19" s="18">
        <f>V9</f>
        <v>12</v>
      </c>
      <c r="AI19" s="18">
        <f>V8</f>
        <v>12</v>
      </c>
      <c r="AJ19" s="18">
        <f>V7</f>
        <v>12</v>
      </c>
      <c r="AK19" s="18">
        <f>V6</f>
        <v>12</v>
      </c>
      <c r="AL19" s="18">
        <f>V5</f>
        <v>8</v>
      </c>
      <c r="AM19" s="18">
        <f>V4</f>
        <v>0</v>
      </c>
      <c r="AN19" s="18">
        <f>S4</f>
        <v>0</v>
      </c>
    </row>
    <row r="20" spans="1:40" ht="12" outlineLevel="1">
      <c r="A20" s="11" t="s">
        <v>10</v>
      </c>
      <c r="B20" s="17">
        <v>24</v>
      </c>
      <c r="C20" s="11" t="s">
        <v>16</v>
      </c>
      <c r="D20" s="17">
        <v>-38.57954545454546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 t="s">
        <v>37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2" outlineLevel="1">
      <c r="A21" s="11" t="s">
        <v>11</v>
      </c>
      <c r="B21" s="17">
        <v>77</v>
      </c>
      <c r="C21" s="11" t="s">
        <v>30</v>
      </c>
      <c r="D21" s="17">
        <v>2.382057487759113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9" t="s">
        <v>22</v>
      </c>
      <c r="R21" s="11">
        <v>1</v>
      </c>
      <c r="S21" s="11">
        <v>2</v>
      </c>
      <c r="T21" s="11">
        <v>3</v>
      </c>
      <c r="U21" s="11">
        <v>4</v>
      </c>
      <c r="V21" s="11">
        <v>5</v>
      </c>
      <c r="W21" s="11">
        <v>6</v>
      </c>
      <c r="X21" s="11">
        <v>7</v>
      </c>
      <c r="Y21" s="11">
        <v>8</v>
      </c>
      <c r="Z21" s="11">
        <v>9</v>
      </c>
      <c r="AA21" s="11">
        <v>10</v>
      </c>
      <c r="AB21" s="11">
        <v>11</v>
      </c>
      <c r="AC21" s="11">
        <v>11</v>
      </c>
      <c r="AD21" s="11">
        <v>10</v>
      </c>
      <c r="AE21" s="11">
        <v>9</v>
      </c>
      <c r="AF21" s="11">
        <v>8</v>
      </c>
      <c r="AG21" s="11">
        <v>7</v>
      </c>
      <c r="AH21" s="11">
        <v>6</v>
      </c>
      <c r="AI21" s="11">
        <v>5</v>
      </c>
      <c r="AJ21" s="11">
        <v>4</v>
      </c>
      <c r="AK21" s="11">
        <v>3</v>
      </c>
      <c r="AL21" s="11">
        <v>2</v>
      </c>
      <c r="AM21" s="11">
        <v>1</v>
      </c>
      <c r="AN21" s="11">
        <v>1</v>
      </c>
    </row>
    <row r="22" spans="1:40" ht="12" outlineLevel="1">
      <c r="A22" s="11" t="s">
        <v>12</v>
      </c>
      <c r="B22" s="17">
        <v>7.48051948051948</v>
      </c>
      <c r="C22" s="11" t="s">
        <v>31</v>
      </c>
      <c r="D22" s="17">
        <v>7.078197022082357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6" t="s">
        <v>20</v>
      </c>
      <c r="R22" s="18">
        <f>R18</f>
        <v>-37</v>
      </c>
      <c r="S22" s="18">
        <f aca="true" t="shared" si="4" ref="S22:AN22">S18</f>
        <v>-38</v>
      </c>
      <c r="T22" s="18">
        <f t="shared" si="4"/>
        <v>-39.5</v>
      </c>
      <c r="U22" s="18">
        <f t="shared" si="4"/>
        <v>-39.5</v>
      </c>
      <c r="V22" s="18">
        <f t="shared" si="4"/>
        <v>-39.5</v>
      </c>
      <c r="W22" s="18">
        <f t="shared" si="4"/>
        <v>-39.5</v>
      </c>
      <c r="X22" s="18">
        <f t="shared" si="4"/>
        <v>-39.5</v>
      </c>
      <c r="Y22" s="18">
        <f t="shared" si="4"/>
        <v>-39.5</v>
      </c>
      <c r="Z22" s="18">
        <f t="shared" si="4"/>
        <v>-39.5</v>
      </c>
      <c r="AA22" s="18">
        <f t="shared" si="4"/>
        <v>-39.5</v>
      </c>
      <c r="AB22" s="18">
        <f t="shared" si="4"/>
        <v>-39.5</v>
      </c>
      <c r="AC22" s="18">
        <f t="shared" si="4"/>
        <v>-39.5</v>
      </c>
      <c r="AD22" s="18">
        <f t="shared" si="4"/>
        <v>-39.5</v>
      </c>
      <c r="AE22" s="18">
        <f t="shared" si="4"/>
        <v>-39.5</v>
      </c>
      <c r="AF22" s="18">
        <f t="shared" si="4"/>
        <v>-39.5</v>
      </c>
      <c r="AG22" s="18">
        <f t="shared" si="4"/>
        <v>-39.5</v>
      </c>
      <c r="AH22" s="18">
        <f t="shared" si="4"/>
        <v>-39.5</v>
      </c>
      <c r="AI22" s="18">
        <f t="shared" si="4"/>
        <v>-39.5</v>
      </c>
      <c r="AJ22" s="18">
        <f t="shared" si="4"/>
        <v>-39.5</v>
      </c>
      <c r="AK22" s="18">
        <f t="shared" si="4"/>
        <v>-40.25</v>
      </c>
      <c r="AL22" s="18">
        <f t="shared" si="4"/>
        <v>-41</v>
      </c>
      <c r="AM22" s="18">
        <f t="shared" si="4"/>
        <v>-41.75</v>
      </c>
      <c r="AN22" s="18">
        <f t="shared" si="4"/>
        <v>-37</v>
      </c>
    </row>
    <row r="23" spans="1:40" ht="12" outlineLevel="1">
      <c r="A23" s="11" t="s">
        <v>13</v>
      </c>
      <c r="B23" s="17">
        <v>-39.47510822510823</v>
      </c>
      <c r="C23" s="11" t="s">
        <v>17</v>
      </c>
      <c r="D23" s="17">
        <v>0.5043859649122807</v>
      </c>
      <c r="E23" s="3"/>
      <c r="P23" s="3"/>
      <c r="Q23" s="9" t="s">
        <v>21</v>
      </c>
      <c r="R23" s="18">
        <f>-R19</f>
        <v>0</v>
      </c>
      <c r="S23" s="18">
        <f aca="true" t="shared" si="5" ref="S23:AN23">-S19</f>
        <v>-8</v>
      </c>
      <c r="T23" s="18">
        <f t="shared" si="5"/>
        <v>-12</v>
      </c>
      <c r="U23" s="18">
        <f t="shared" si="5"/>
        <v>-12</v>
      </c>
      <c r="V23" s="18">
        <f t="shared" si="5"/>
        <v>-12</v>
      </c>
      <c r="W23" s="18">
        <f t="shared" si="5"/>
        <v>-12</v>
      </c>
      <c r="X23" s="18">
        <f t="shared" si="5"/>
        <v>-12</v>
      </c>
      <c r="Y23" s="18">
        <f t="shared" si="5"/>
        <v>-12</v>
      </c>
      <c r="Z23" s="18">
        <f t="shared" si="5"/>
        <v>-12</v>
      </c>
      <c r="AA23" s="18">
        <f t="shared" si="5"/>
        <v>-12</v>
      </c>
      <c r="AB23" s="18">
        <f t="shared" si="5"/>
        <v>-12</v>
      </c>
      <c r="AC23" s="18">
        <f t="shared" si="5"/>
        <v>-12</v>
      </c>
      <c r="AD23" s="18">
        <f t="shared" si="5"/>
        <v>-12</v>
      </c>
      <c r="AE23" s="18">
        <f t="shared" si="5"/>
        <v>-12</v>
      </c>
      <c r="AF23" s="18">
        <f t="shared" si="5"/>
        <v>-12</v>
      </c>
      <c r="AG23" s="18">
        <f t="shared" si="5"/>
        <v>-12</v>
      </c>
      <c r="AH23" s="18">
        <f t="shared" si="5"/>
        <v>-12</v>
      </c>
      <c r="AI23" s="18">
        <f t="shared" si="5"/>
        <v>-12</v>
      </c>
      <c r="AJ23" s="18">
        <f t="shared" si="5"/>
        <v>-12</v>
      </c>
      <c r="AK23" s="18">
        <f t="shared" si="5"/>
        <v>-12</v>
      </c>
      <c r="AL23" s="18">
        <f t="shared" si="5"/>
        <v>-8</v>
      </c>
      <c r="AM23" s="18">
        <f t="shared" si="5"/>
        <v>0</v>
      </c>
      <c r="AN23" s="18">
        <f t="shared" si="5"/>
        <v>0</v>
      </c>
    </row>
    <row r="24" spans="1:40" ht="12" outlineLevel="1">
      <c r="A24" s="11" t="s">
        <v>14</v>
      </c>
      <c r="B24" s="17">
        <v>4.84848484848485</v>
      </c>
      <c r="C24" s="11" t="s">
        <v>32</v>
      </c>
      <c r="D24" s="17">
        <v>4.820904758815828</v>
      </c>
      <c r="E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2" outlineLevel="1">
      <c r="A25" s="11" t="s">
        <v>15</v>
      </c>
      <c r="B25" s="17">
        <v>3.582251082251082</v>
      </c>
      <c r="C25" s="3"/>
      <c r="D25" s="3"/>
      <c r="E25" s="3"/>
      <c r="F25" s="19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ht="12" outlineLevel="1"/>
    <row r="27" spans="1:40" ht="12.75">
      <c r="A27" s="2" t="s">
        <v>35</v>
      </c>
      <c r="B27" s="3"/>
      <c r="C27" s="3"/>
      <c r="D27" s="3"/>
      <c r="E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2" hidden="1" outlineLevel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" t="s">
        <v>23</v>
      </c>
      <c r="R28" s="5"/>
      <c r="S28" s="5"/>
      <c r="T28" s="4" t="s">
        <v>24</v>
      </c>
      <c r="U28" s="3"/>
      <c r="V28" s="3"/>
      <c r="W28" s="6"/>
      <c r="X28" s="6" t="s">
        <v>33</v>
      </c>
      <c r="Y28" s="6"/>
      <c r="Z28" s="6"/>
      <c r="AA28" s="6"/>
      <c r="AB28" s="6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2" hidden="1" outlineLevel="1">
      <c r="A29" s="7" t="s">
        <v>8</v>
      </c>
      <c r="B29" s="3"/>
      <c r="C29" s="3"/>
      <c r="D29" s="3"/>
      <c r="E29" s="8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9" t="s">
        <v>22</v>
      </c>
      <c r="R29" s="9" t="s">
        <v>20</v>
      </c>
      <c r="S29" s="9" t="s">
        <v>21</v>
      </c>
      <c r="T29" s="9" t="s">
        <v>22</v>
      </c>
      <c r="U29" s="9" t="s">
        <v>20</v>
      </c>
      <c r="V29" s="9" t="s">
        <v>21</v>
      </c>
      <c r="W29" s="10"/>
      <c r="X29" s="9" t="s">
        <v>22</v>
      </c>
      <c r="Y29" s="9" t="s">
        <v>20</v>
      </c>
      <c r="Z29" s="9" t="s">
        <v>21</v>
      </c>
      <c r="AA29" s="10"/>
      <c r="AB29" s="10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12" hidden="1" outlineLevel="1">
      <c r="A30" s="11" t="s">
        <v>1</v>
      </c>
      <c r="B30" s="11" t="s">
        <v>2</v>
      </c>
      <c r="C30" s="11" t="s">
        <v>25</v>
      </c>
      <c r="D30" s="15" t="s">
        <v>29</v>
      </c>
      <c r="E30" s="9" t="s">
        <v>28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1">
        <v>1</v>
      </c>
      <c r="R30" s="18">
        <f>C31</f>
        <v>15</v>
      </c>
      <c r="S30" s="18">
        <f>B31</f>
        <v>1</v>
      </c>
      <c r="T30" s="11">
        <v>1</v>
      </c>
      <c r="U30" s="18">
        <f>C31-A31</f>
        <v>10</v>
      </c>
      <c r="V30" s="18">
        <f>S30</f>
        <v>1</v>
      </c>
      <c r="W30" s="6"/>
      <c r="X30" s="11">
        <v>1</v>
      </c>
      <c r="Y30" s="18">
        <f>B50</f>
        <v>7.1484375</v>
      </c>
      <c r="Z30" s="18">
        <f>B49+0.5*B51</f>
        <v>14.03125</v>
      </c>
      <c r="AA30" s="6"/>
      <c r="AB30" s="6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12" hidden="1" outlineLevel="1">
      <c r="A31" s="12">
        <v>5</v>
      </c>
      <c r="B31" s="12">
        <v>1</v>
      </c>
      <c r="C31" s="12">
        <v>15</v>
      </c>
      <c r="D31" s="12">
        <v>-0.7522</v>
      </c>
      <c r="E31" s="12">
        <v>3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1">
        <v>2</v>
      </c>
      <c r="R31" s="18">
        <f>R30-D34</f>
        <v>13</v>
      </c>
      <c r="S31" s="18">
        <f aca="true" t="shared" si="6" ref="S31:S40">S30+C34</f>
        <v>8.5</v>
      </c>
      <c r="T31" s="11">
        <v>2</v>
      </c>
      <c r="U31" s="18">
        <f>R31-B34</f>
        <v>10</v>
      </c>
      <c r="V31" s="18">
        <f aca="true" t="shared" si="7" ref="V31:V40">S31</f>
        <v>8.5</v>
      </c>
      <c r="W31" s="6"/>
      <c r="X31" s="11">
        <v>2</v>
      </c>
      <c r="Y31" s="18">
        <f>B50</f>
        <v>7.1484375</v>
      </c>
      <c r="Z31" s="18">
        <f>D46</f>
        <v>13.106770833333332</v>
      </c>
      <c r="AA31" s="6"/>
      <c r="AB31" s="6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12" hidden="1" outlineLevel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1">
        <v>3</v>
      </c>
      <c r="R32" s="18">
        <f aca="true" t="shared" si="8" ref="R32:R40">R31-D35</f>
        <v>15</v>
      </c>
      <c r="S32" s="18">
        <f t="shared" si="6"/>
        <v>11.5</v>
      </c>
      <c r="T32" s="11">
        <v>3</v>
      </c>
      <c r="U32" s="18">
        <f aca="true" t="shared" si="9" ref="U32:U40">R32-B35</f>
        <v>12.5</v>
      </c>
      <c r="V32" s="18">
        <f t="shared" si="7"/>
        <v>11.5</v>
      </c>
      <c r="W32" s="6"/>
      <c r="X32" s="11">
        <v>3</v>
      </c>
      <c r="Y32" s="18">
        <f>B50</f>
        <v>7.1484375</v>
      </c>
      <c r="Z32" s="18">
        <f>B49-0.5*B51</f>
        <v>10.333333333333332</v>
      </c>
      <c r="AA32" s="6"/>
      <c r="AB32" s="6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12" hidden="1" outlineLevel="1">
      <c r="A33" s="13" t="s">
        <v>3</v>
      </c>
      <c r="B33" s="14" t="s">
        <v>4</v>
      </c>
      <c r="C33" s="14" t="s">
        <v>5</v>
      </c>
      <c r="D33" s="13" t="s">
        <v>6</v>
      </c>
      <c r="E33" s="20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1">
        <v>4</v>
      </c>
      <c r="R33" s="18">
        <f t="shared" si="8"/>
        <v>13</v>
      </c>
      <c r="S33" s="18">
        <f t="shared" si="6"/>
        <v>14.5</v>
      </c>
      <c r="T33" s="11">
        <v>4</v>
      </c>
      <c r="U33" s="18">
        <f t="shared" si="9"/>
        <v>9</v>
      </c>
      <c r="V33" s="18">
        <f t="shared" si="7"/>
        <v>14.5</v>
      </c>
      <c r="W33" s="6"/>
      <c r="X33" s="6"/>
      <c r="Y33" s="6"/>
      <c r="Z33" s="6"/>
      <c r="AA33" s="6"/>
      <c r="AB33" s="6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12" hidden="1" outlineLevel="1">
      <c r="A34" s="11">
        <v>1</v>
      </c>
      <c r="B34" s="12">
        <v>3</v>
      </c>
      <c r="C34" s="12">
        <v>7.5</v>
      </c>
      <c r="D34" s="12">
        <v>2</v>
      </c>
      <c r="E34" s="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1">
        <v>5</v>
      </c>
      <c r="R34" s="18">
        <f t="shared" si="8"/>
        <v>13</v>
      </c>
      <c r="S34" s="18">
        <f t="shared" si="6"/>
        <v>14.5</v>
      </c>
      <c r="T34" s="11">
        <v>5</v>
      </c>
      <c r="U34" s="18">
        <f t="shared" si="9"/>
        <v>13</v>
      </c>
      <c r="V34" s="18">
        <f t="shared" si="7"/>
        <v>14.5</v>
      </c>
      <c r="W34" s="6"/>
      <c r="X34" s="6"/>
      <c r="Y34" s="6"/>
      <c r="Z34" s="6"/>
      <c r="AA34" s="6"/>
      <c r="AB34" s="6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12" hidden="1" outlineLevel="1">
      <c r="A35" s="15">
        <v>2</v>
      </c>
      <c r="B35" s="12">
        <v>2.5</v>
      </c>
      <c r="C35" s="12">
        <v>3</v>
      </c>
      <c r="D35" s="12">
        <v>-2</v>
      </c>
      <c r="E35" s="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1">
        <v>6</v>
      </c>
      <c r="R35" s="18">
        <f t="shared" si="8"/>
        <v>13</v>
      </c>
      <c r="S35" s="18">
        <f t="shared" si="6"/>
        <v>14.5</v>
      </c>
      <c r="T35" s="11">
        <v>6</v>
      </c>
      <c r="U35" s="18">
        <f t="shared" si="9"/>
        <v>13</v>
      </c>
      <c r="V35" s="18">
        <f t="shared" si="7"/>
        <v>14.5</v>
      </c>
      <c r="W35" s="6"/>
      <c r="X35" s="6"/>
      <c r="Y35" s="6"/>
      <c r="Z35" s="6"/>
      <c r="AA35" s="6"/>
      <c r="AB35" s="6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12" hidden="1" outlineLevel="1">
      <c r="A36" s="15">
        <v>3</v>
      </c>
      <c r="B36" s="12">
        <v>4</v>
      </c>
      <c r="C36" s="12">
        <v>3</v>
      </c>
      <c r="D36" s="12">
        <v>2</v>
      </c>
      <c r="E36" s="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1">
        <v>7</v>
      </c>
      <c r="R36" s="18">
        <f t="shared" si="8"/>
        <v>13</v>
      </c>
      <c r="S36" s="18">
        <f t="shared" si="6"/>
        <v>14.5</v>
      </c>
      <c r="T36" s="11">
        <v>7</v>
      </c>
      <c r="U36" s="18">
        <f t="shared" si="9"/>
        <v>13</v>
      </c>
      <c r="V36" s="18">
        <f t="shared" si="7"/>
        <v>14.5</v>
      </c>
      <c r="W36" s="6"/>
      <c r="X36" s="6"/>
      <c r="Y36" s="6"/>
      <c r="Z36" s="6"/>
      <c r="AA36" s="6"/>
      <c r="AB36" s="6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12" hidden="1" outlineLevel="1">
      <c r="A37" s="15"/>
      <c r="B37" s="15"/>
      <c r="C37" s="15"/>
      <c r="D37" s="15"/>
      <c r="E37" s="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1">
        <v>8</v>
      </c>
      <c r="R37" s="18">
        <f t="shared" si="8"/>
        <v>13</v>
      </c>
      <c r="S37" s="18">
        <f t="shared" si="6"/>
        <v>14.5</v>
      </c>
      <c r="T37" s="11">
        <v>8</v>
      </c>
      <c r="U37" s="18">
        <f t="shared" si="9"/>
        <v>13</v>
      </c>
      <c r="V37" s="18">
        <f t="shared" si="7"/>
        <v>14.5</v>
      </c>
      <c r="W37" s="6"/>
      <c r="X37" s="6"/>
      <c r="Y37" s="6"/>
      <c r="Z37" s="6"/>
      <c r="AA37" s="6"/>
      <c r="AB37" s="6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12" hidden="1" outlineLevel="1">
      <c r="A38" s="15"/>
      <c r="B38" s="15"/>
      <c r="C38" s="15"/>
      <c r="D38" s="15"/>
      <c r="E38" s="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1">
        <v>9</v>
      </c>
      <c r="R38" s="18">
        <f t="shared" si="8"/>
        <v>13</v>
      </c>
      <c r="S38" s="18">
        <f t="shared" si="6"/>
        <v>14.5</v>
      </c>
      <c r="T38" s="11">
        <v>9</v>
      </c>
      <c r="U38" s="18">
        <f t="shared" si="9"/>
        <v>13</v>
      </c>
      <c r="V38" s="18">
        <f t="shared" si="7"/>
        <v>14.5</v>
      </c>
      <c r="W38" s="6"/>
      <c r="X38" s="6"/>
      <c r="Y38" s="6"/>
      <c r="Z38" s="6"/>
      <c r="AA38" s="6"/>
      <c r="AB38" s="6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12" hidden="1" outlineLevel="1">
      <c r="A39" s="15"/>
      <c r="B39" s="15"/>
      <c r="C39" s="15"/>
      <c r="D39" s="15"/>
      <c r="E39" s="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1">
        <v>10</v>
      </c>
      <c r="R39" s="18">
        <f t="shared" si="8"/>
        <v>13</v>
      </c>
      <c r="S39" s="18">
        <f t="shared" si="6"/>
        <v>14.5</v>
      </c>
      <c r="T39" s="11">
        <v>10</v>
      </c>
      <c r="U39" s="18">
        <f t="shared" si="9"/>
        <v>13</v>
      </c>
      <c r="V39" s="18">
        <f t="shared" si="7"/>
        <v>14.5</v>
      </c>
      <c r="W39" s="6"/>
      <c r="X39" s="6"/>
      <c r="Y39" s="6"/>
      <c r="Z39" s="6"/>
      <c r="AA39" s="6"/>
      <c r="AB39" s="6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12" hidden="1" outlineLevel="1">
      <c r="A40" s="15"/>
      <c r="B40" s="15"/>
      <c r="C40" s="15"/>
      <c r="D40" s="15"/>
      <c r="E40" s="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1">
        <v>11</v>
      </c>
      <c r="R40" s="18">
        <f t="shared" si="8"/>
        <v>13</v>
      </c>
      <c r="S40" s="18">
        <f t="shared" si="6"/>
        <v>14.5</v>
      </c>
      <c r="T40" s="11">
        <v>11</v>
      </c>
      <c r="U40" s="18">
        <f t="shared" si="9"/>
        <v>13</v>
      </c>
      <c r="V40" s="18">
        <f t="shared" si="7"/>
        <v>14.5</v>
      </c>
      <c r="W40" s="6"/>
      <c r="X40" s="6"/>
      <c r="Y40" s="6"/>
      <c r="Z40" s="6"/>
      <c r="AA40" s="6"/>
      <c r="AB40" s="6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12" hidden="1" outlineLevel="1">
      <c r="A41" s="15"/>
      <c r="B41" s="15"/>
      <c r="C41" s="15"/>
      <c r="D41" s="15"/>
      <c r="E41" s="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12" hidden="1" outlineLevel="1">
      <c r="A42" s="15"/>
      <c r="B42" s="15"/>
      <c r="C42" s="15"/>
      <c r="D42" s="15"/>
      <c r="E42" s="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 t="s">
        <v>38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12" hidden="1" outlineLevel="1">
      <c r="A43" s="15"/>
      <c r="B43" s="15"/>
      <c r="C43" s="15"/>
      <c r="D43" s="15"/>
      <c r="E43" s="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9" t="s">
        <v>22</v>
      </c>
      <c r="R43" s="11">
        <v>1</v>
      </c>
      <c r="S43" s="11">
        <v>2</v>
      </c>
      <c r="T43" s="11">
        <v>3</v>
      </c>
      <c r="U43" s="11">
        <v>4</v>
      </c>
      <c r="V43" s="11">
        <v>5</v>
      </c>
      <c r="W43" s="11">
        <v>6</v>
      </c>
      <c r="X43" s="11">
        <v>7</v>
      </c>
      <c r="Y43" s="11">
        <v>8</v>
      </c>
      <c r="Z43" s="11">
        <v>9</v>
      </c>
      <c r="AA43" s="11">
        <v>10</v>
      </c>
      <c r="AB43" s="11">
        <v>11</v>
      </c>
      <c r="AC43" s="11">
        <v>11</v>
      </c>
      <c r="AD43" s="11">
        <v>10</v>
      </c>
      <c r="AE43" s="11">
        <v>9</v>
      </c>
      <c r="AF43" s="11">
        <v>8</v>
      </c>
      <c r="AG43" s="11">
        <v>7</v>
      </c>
      <c r="AH43" s="11">
        <v>6</v>
      </c>
      <c r="AI43" s="11">
        <v>5</v>
      </c>
      <c r="AJ43" s="11">
        <v>4</v>
      </c>
      <c r="AK43" s="11">
        <v>3</v>
      </c>
      <c r="AL43" s="11">
        <v>2</v>
      </c>
      <c r="AM43" s="11">
        <v>1</v>
      </c>
      <c r="AN43" s="11">
        <v>1</v>
      </c>
    </row>
    <row r="44" spans="1:40" ht="12" hidden="1" outlineLevel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6" t="s">
        <v>20</v>
      </c>
      <c r="R44" s="18">
        <f>R30</f>
        <v>15</v>
      </c>
      <c r="S44" s="18">
        <f>R31</f>
        <v>13</v>
      </c>
      <c r="T44" s="18">
        <f>R32</f>
        <v>15</v>
      </c>
      <c r="U44" s="18">
        <f>R33</f>
        <v>13</v>
      </c>
      <c r="V44" s="18">
        <f>R34</f>
        <v>13</v>
      </c>
      <c r="W44" s="18">
        <f>R35</f>
        <v>13</v>
      </c>
      <c r="X44" s="18">
        <f>R36</f>
        <v>13</v>
      </c>
      <c r="Y44" s="18">
        <f>R37</f>
        <v>13</v>
      </c>
      <c r="Z44" s="18">
        <f>R38</f>
        <v>13</v>
      </c>
      <c r="AA44" s="18">
        <f>R39</f>
        <v>13</v>
      </c>
      <c r="AB44" s="18">
        <f>R40</f>
        <v>13</v>
      </c>
      <c r="AC44" s="18">
        <f>U40</f>
        <v>13</v>
      </c>
      <c r="AD44" s="18">
        <f>U39</f>
        <v>13</v>
      </c>
      <c r="AE44" s="18">
        <f>U38</f>
        <v>13</v>
      </c>
      <c r="AF44" s="18">
        <f>U37</f>
        <v>13</v>
      </c>
      <c r="AG44" s="18">
        <f>U36</f>
        <v>13</v>
      </c>
      <c r="AH44" s="18">
        <f>U35</f>
        <v>13</v>
      </c>
      <c r="AI44" s="18">
        <f>U34</f>
        <v>13</v>
      </c>
      <c r="AJ44" s="18">
        <f>U33</f>
        <v>9</v>
      </c>
      <c r="AK44" s="18">
        <f>U32</f>
        <v>12.5</v>
      </c>
      <c r="AL44" s="18">
        <f>U31</f>
        <v>10</v>
      </c>
      <c r="AM44" s="18">
        <f>U30</f>
        <v>10</v>
      </c>
      <c r="AN44" s="18">
        <f>R30</f>
        <v>15</v>
      </c>
    </row>
    <row r="45" spans="1:40" ht="12" hidden="1" outlineLevel="1">
      <c r="A45" s="7" t="s">
        <v>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9" t="s">
        <v>21</v>
      </c>
      <c r="R45" s="18">
        <f>S30</f>
        <v>1</v>
      </c>
      <c r="S45" s="18">
        <f>S31</f>
        <v>8.5</v>
      </c>
      <c r="T45" s="18">
        <f>S32</f>
        <v>11.5</v>
      </c>
      <c r="U45" s="18">
        <f>S33</f>
        <v>14.5</v>
      </c>
      <c r="V45" s="18">
        <f>S34</f>
        <v>14.5</v>
      </c>
      <c r="W45" s="18">
        <f>S35</f>
        <v>14.5</v>
      </c>
      <c r="X45" s="18">
        <f>S36</f>
        <v>14.5</v>
      </c>
      <c r="Y45" s="18">
        <f>S37</f>
        <v>14.5</v>
      </c>
      <c r="Z45" s="18">
        <f>S38</f>
        <v>14.5</v>
      </c>
      <c r="AA45" s="18">
        <f>S39</f>
        <v>14.5</v>
      </c>
      <c r="AB45" s="18">
        <f>S40</f>
        <v>14.5</v>
      </c>
      <c r="AC45" s="18">
        <f>V40</f>
        <v>14.5</v>
      </c>
      <c r="AD45" s="18">
        <f>V39</f>
        <v>14.5</v>
      </c>
      <c r="AE45" s="18">
        <f>V38</f>
        <v>14.5</v>
      </c>
      <c r="AF45" s="18">
        <f>V37</f>
        <v>14.5</v>
      </c>
      <c r="AG45" s="18">
        <f>V36</f>
        <v>14.5</v>
      </c>
      <c r="AH45" s="18">
        <f>V35</f>
        <v>14.5</v>
      </c>
      <c r="AI45" s="18">
        <f>V34</f>
        <v>14.5</v>
      </c>
      <c r="AJ45" s="18">
        <f>V33</f>
        <v>14.5</v>
      </c>
      <c r="AK45" s="18">
        <f>V32</f>
        <v>11.5</v>
      </c>
      <c r="AL45" s="18">
        <f>V31</f>
        <v>8.5</v>
      </c>
      <c r="AM45" s="18">
        <f>V30</f>
        <v>1</v>
      </c>
      <c r="AN45" s="18">
        <f>S30</f>
        <v>1</v>
      </c>
    </row>
    <row r="46" spans="1:40" ht="12" hidden="1" outlineLevel="1">
      <c r="A46" s="11" t="s">
        <v>10</v>
      </c>
      <c r="B46" s="17">
        <v>29</v>
      </c>
      <c r="C46" s="11" t="s">
        <v>16</v>
      </c>
      <c r="D46" s="17">
        <v>13.106770833333332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 t="s">
        <v>39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12" hidden="1" outlineLevel="1">
      <c r="A47" s="11" t="s">
        <v>11</v>
      </c>
      <c r="B47" s="17">
        <v>96</v>
      </c>
      <c r="C47" s="11" t="s">
        <v>30</v>
      </c>
      <c r="D47" s="17">
        <v>5.472701745252318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9" t="s">
        <v>22</v>
      </c>
      <c r="R47" s="11">
        <v>1</v>
      </c>
      <c r="S47" s="11">
        <v>2</v>
      </c>
      <c r="T47" s="11">
        <v>3</v>
      </c>
      <c r="U47" s="11">
        <v>4</v>
      </c>
      <c r="V47" s="11">
        <v>5</v>
      </c>
      <c r="W47" s="11">
        <v>6</v>
      </c>
      <c r="X47" s="11">
        <v>7</v>
      </c>
      <c r="Y47" s="11">
        <v>8</v>
      </c>
      <c r="Z47" s="11">
        <v>9</v>
      </c>
      <c r="AA47" s="11">
        <v>10</v>
      </c>
      <c r="AB47" s="11">
        <v>11</v>
      </c>
      <c r="AC47" s="11">
        <v>11</v>
      </c>
      <c r="AD47" s="11">
        <v>10</v>
      </c>
      <c r="AE47" s="11">
        <v>9</v>
      </c>
      <c r="AF47" s="11">
        <v>8</v>
      </c>
      <c r="AG47" s="11">
        <v>7</v>
      </c>
      <c r="AH47" s="11">
        <v>6</v>
      </c>
      <c r="AI47" s="11">
        <v>5</v>
      </c>
      <c r="AJ47" s="11">
        <v>4</v>
      </c>
      <c r="AK47" s="11">
        <v>3</v>
      </c>
      <c r="AL47" s="11">
        <v>2</v>
      </c>
      <c r="AM47" s="11">
        <v>1</v>
      </c>
      <c r="AN47" s="11">
        <v>1</v>
      </c>
    </row>
    <row r="48" spans="1:40" ht="12" hidden="1" outlineLevel="1">
      <c r="A48" s="11" t="s">
        <v>12</v>
      </c>
      <c r="B48" s="17">
        <v>8.760416666666666</v>
      </c>
      <c r="C48" s="11" t="s">
        <v>31</v>
      </c>
      <c r="D48" s="17">
        <v>6.962467362284195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6" t="s">
        <v>20</v>
      </c>
      <c r="R48" s="18">
        <f>R44</f>
        <v>15</v>
      </c>
      <c r="S48" s="18">
        <f aca="true" t="shared" si="10" ref="S48:AN48">S44</f>
        <v>13</v>
      </c>
      <c r="T48" s="18">
        <f t="shared" si="10"/>
        <v>15</v>
      </c>
      <c r="U48" s="18">
        <f t="shared" si="10"/>
        <v>13</v>
      </c>
      <c r="V48" s="18">
        <f t="shared" si="10"/>
        <v>13</v>
      </c>
      <c r="W48" s="18">
        <f t="shared" si="10"/>
        <v>13</v>
      </c>
      <c r="X48" s="18">
        <f t="shared" si="10"/>
        <v>13</v>
      </c>
      <c r="Y48" s="18">
        <f t="shared" si="10"/>
        <v>13</v>
      </c>
      <c r="Z48" s="18">
        <f t="shared" si="10"/>
        <v>13</v>
      </c>
      <c r="AA48" s="18">
        <f t="shared" si="10"/>
        <v>13</v>
      </c>
      <c r="AB48" s="18">
        <f t="shared" si="10"/>
        <v>13</v>
      </c>
      <c r="AC48" s="18">
        <f t="shared" si="10"/>
        <v>13</v>
      </c>
      <c r="AD48" s="18">
        <f t="shared" si="10"/>
        <v>13</v>
      </c>
      <c r="AE48" s="18">
        <f t="shared" si="10"/>
        <v>13</v>
      </c>
      <c r="AF48" s="18">
        <f t="shared" si="10"/>
        <v>13</v>
      </c>
      <c r="AG48" s="18">
        <f t="shared" si="10"/>
        <v>13</v>
      </c>
      <c r="AH48" s="18">
        <f t="shared" si="10"/>
        <v>13</v>
      </c>
      <c r="AI48" s="18">
        <f t="shared" si="10"/>
        <v>13</v>
      </c>
      <c r="AJ48" s="18">
        <f t="shared" si="10"/>
        <v>9</v>
      </c>
      <c r="AK48" s="18">
        <f t="shared" si="10"/>
        <v>12.5</v>
      </c>
      <c r="AL48" s="18">
        <f t="shared" si="10"/>
        <v>10</v>
      </c>
      <c r="AM48" s="18">
        <f t="shared" si="10"/>
        <v>10</v>
      </c>
      <c r="AN48" s="18">
        <f t="shared" si="10"/>
        <v>15</v>
      </c>
    </row>
    <row r="49" spans="1:40" ht="12" hidden="1" outlineLevel="1">
      <c r="A49" s="11" t="s">
        <v>13</v>
      </c>
      <c r="B49" s="17">
        <v>12.182291666666666</v>
      </c>
      <c r="C49" s="11" t="s">
        <v>17</v>
      </c>
      <c r="D49" s="17">
        <v>0.8740740740740741</v>
      </c>
      <c r="E49" s="3"/>
      <c r="F49" s="1"/>
      <c r="G49" s="1"/>
      <c r="H49" s="1"/>
      <c r="I49" s="1"/>
      <c r="J49" s="1"/>
      <c r="K49" s="1"/>
      <c r="L49" s="1"/>
      <c r="M49" s="1"/>
      <c r="N49" s="3"/>
      <c r="O49" s="3"/>
      <c r="P49" s="3"/>
      <c r="Q49" s="9" t="s">
        <v>21</v>
      </c>
      <c r="R49" s="18">
        <f>-R45</f>
        <v>-1</v>
      </c>
      <c r="S49" s="18">
        <f aca="true" t="shared" si="11" ref="S49:AN49">-S45</f>
        <v>-8.5</v>
      </c>
      <c r="T49" s="18">
        <f t="shared" si="11"/>
        <v>-11.5</v>
      </c>
      <c r="U49" s="18">
        <f t="shared" si="11"/>
        <v>-14.5</v>
      </c>
      <c r="V49" s="18">
        <f t="shared" si="11"/>
        <v>-14.5</v>
      </c>
      <c r="W49" s="18">
        <f t="shared" si="11"/>
        <v>-14.5</v>
      </c>
      <c r="X49" s="18">
        <f t="shared" si="11"/>
        <v>-14.5</v>
      </c>
      <c r="Y49" s="18">
        <f t="shared" si="11"/>
        <v>-14.5</v>
      </c>
      <c r="Z49" s="18">
        <f t="shared" si="11"/>
        <v>-14.5</v>
      </c>
      <c r="AA49" s="18">
        <f t="shared" si="11"/>
        <v>-14.5</v>
      </c>
      <c r="AB49" s="18">
        <f t="shared" si="11"/>
        <v>-14.5</v>
      </c>
      <c r="AC49" s="18">
        <f t="shared" si="11"/>
        <v>-14.5</v>
      </c>
      <c r="AD49" s="18">
        <f t="shared" si="11"/>
        <v>-14.5</v>
      </c>
      <c r="AE49" s="18">
        <f t="shared" si="11"/>
        <v>-14.5</v>
      </c>
      <c r="AF49" s="18">
        <f t="shared" si="11"/>
        <v>-14.5</v>
      </c>
      <c r="AG49" s="18">
        <f t="shared" si="11"/>
        <v>-14.5</v>
      </c>
      <c r="AH49" s="18">
        <f t="shared" si="11"/>
        <v>-14.5</v>
      </c>
      <c r="AI49" s="18">
        <f t="shared" si="11"/>
        <v>-14.5</v>
      </c>
      <c r="AJ49" s="18">
        <f t="shared" si="11"/>
        <v>-14.5</v>
      </c>
      <c r="AK49" s="18">
        <f t="shared" si="11"/>
        <v>-11.5</v>
      </c>
      <c r="AL49" s="18">
        <f t="shared" si="11"/>
        <v>-8.5</v>
      </c>
      <c r="AM49" s="18">
        <f t="shared" si="11"/>
        <v>-1</v>
      </c>
      <c r="AN49" s="18">
        <f t="shared" si="11"/>
        <v>-1</v>
      </c>
    </row>
    <row r="50" spans="1:40" ht="12" hidden="1" outlineLevel="1">
      <c r="A50" s="11" t="s">
        <v>14</v>
      </c>
      <c r="B50" s="17">
        <v>7.1484375</v>
      </c>
      <c r="C50" s="11" t="s">
        <v>32</v>
      </c>
      <c r="D50" s="17">
        <v>4.992623288300902</v>
      </c>
      <c r="E50" s="3"/>
      <c r="F50" s="1"/>
      <c r="G50" s="1"/>
      <c r="H50" s="1"/>
      <c r="I50" s="1"/>
      <c r="J50" s="1"/>
      <c r="K50" s="1"/>
      <c r="L50" s="1"/>
      <c r="M50" s="1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12" hidden="1" outlineLevel="1">
      <c r="A51" s="11" t="s">
        <v>15</v>
      </c>
      <c r="B51" s="17">
        <v>3.6979166666666665</v>
      </c>
      <c r="C51" s="3"/>
      <c r="D51" s="3"/>
      <c r="E51" s="3"/>
      <c r="F51" s="1"/>
      <c r="G51" s="1"/>
      <c r="H51" s="1"/>
      <c r="I51" s="1"/>
      <c r="J51" s="1"/>
      <c r="K51" s="1"/>
      <c r="L51" s="1"/>
      <c r="M51" s="1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ht="12" hidden="1" outlineLevel="1"/>
    <row r="53" ht="12" collapsed="1"/>
  </sheetData>
  <sheetProtection password="AE35" sheet="1" objects="1" scenarios="1" formatCells="0"/>
  <printOptions/>
  <pageMargins left="0.75" right="0.75" top="1" bottom="1" header="0.5" footer="0.5"/>
  <pageSetup horizontalDpi="600" verticalDpi="600" orientation="portrait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N30"/>
  <sheetViews>
    <sheetView showGridLines="0" workbookViewId="0" topLeftCell="A1">
      <selection activeCell="C6" sqref="C6"/>
    </sheetView>
  </sheetViews>
  <sheetFormatPr defaultColWidth="9.140625" defaultRowHeight="12.75" outlineLevelRow="1"/>
  <cols>
    <col min="1" max="5" width="12.7109375" style="3" customWidth="1"/>
    <col min="6" max="18" width="9.140625" style="3" customWidth="1"/>
    <col min="19" max="22" width="12.421875" style="3" bestFit="1" customWidth="1"/>
    <col min="23" max="23" width="11.421875" style="3" bestFit="1" customWidth="1"/>
    <col min="24" max="28" width="12.421875" style="3" bestFit="1" customWidth="1"/>
    <col min="29" max="16384" width="9.140625" style="3" customWidth="1"/>
  </cols>
  <sheetData>
    <row r="1" spans="1:2" ht="15">
      <c r="A1" s="2" t="s">
        <v>46</v>
      </c>
      <c r="B1" s="2"/>
    </row>
    <row r="2" spans="2:26" ht="12.75" outlineLevel="1">
      <c r="B2" s="3" t="s">
        <v>51</v>
      </c>
      <c r="Q2" s="4" t="s">
        <v>52</v>
      </c>
      <c r="R2" s="5"/>
      <c r="S2" s="5"/>
      <c r="T2" s="4" t="s">
        <v>40</v>
      </c>
      <c r="W2" s="6"/>
      <c r="X2" s="6" t="s">
        <v>33</v>
      </c>
      <c r="Y2" s="6"/>
      <c r="Z2" s="6"/>
    </row>
    <row r="3" spans="1:26" ht="12.75" outlineLevel="1">
      <c r="A3" s="7" t="s">
        <v>8</v>
      </c>
      <c r="E3" s="8"/>
      <c r="Q3" s="9" t="s">
        <v>22</v>
      </c>
      <c r="R3" s="9" t="s">
        <v>20</v>
      </c>
      <c r="S3" s="9" t="s">
        <v>41</v>
      </c>
      <c r="T3" s="22" t="s">
        <v>22</v>
      </c>
      <c r="U3" s="9" t="s">
        <v>20</v>
      </c>
      <c r="V3" s="9" t="s">
        <v>41</v>
      </c>
      <c r="W3" s="10"/>
      <c r="X3" s="9" t="s">
        <v>22</v>
      </c>
      <c r="Y3" s="9" t="s">
        <v>20</v>
      </c>
      <c r="Z3" s="9" t="s">
        <v>41</v>
      </c>
    </row>
    <row r="4" spans="1:26" ht="12.75" outlineLevel="1">
      <c r="A4" s="11" t="s">
        <v>1</v>
      </c>
      <c r="B4" s="23" t="s">
        <v>2</v>
      </c>
      <c r="C4" s="23" t="s">
        <v>25</v>
      </c>
      <c r="D4" s="23" t="s">
        <v>29</v>
      </c>
      <c r="E4" s="9" t="s">
        <v>28</v>
      </c>
      <c r="Q4" s="11">
        <v>1</v>
      </c>
      <c r="R4" s="18">
        <f>C5</f>
        <v>-41</v>
      </c>
      <c r="S4" s="18">
        <f>D5</f>
        <v>0</v>
      </c>
      <c r="T4" s="100">
        <v>1</v>
      </c>
      <c r="U4" s="18">
        <f>C5-A5</f>
        <v>-47.25</v>
      </c>
      <c r="V4" s="18">
        <f aca="true" t="shared" si="0" ref="V4:V14">S4</f>
        <v>0</v>
      </c>
      <c r="W4" s="6"/>
      <c r="X4" s="11">
        <v>1</v>
      </c>
      <c r="Y4" s="18">
        <f>B25+1/2*D23</f>
        <v>-41.84313725490196</v>
      </c>
      <c r="Z4" s="18">
        <f>D25</f>
        <v>5.0588235294117645</v>
      </c>
    </row>
    <row r="5" spans="1:26" ht="12.75" outlineLevel="1">
      <c r="A5" s="102">
        <v>6.25</v>
      </c>
      <c r="B5" s="103">
        <v>0</v>
      </c>
      <c r="C5" s="103">
        <v>-41</v>
      </c>
      <c r="D5" s="103">
        <v>0</v>
      </c>
      <c r="E5" s="12">
        <v>1</v>
      </c>
      <c r="Q5" s="11">
        <v>2</v>
      </c>
      <c r="R5" s="18">
        <f>R4-D8</f>
        <v>-43</v>
      </c>
      <c r="S5" s="18">
        <f aca="true" t="shared" si="1" ref="S5:S14">S4+C8</f>
        <v>12</v>
      </c>
      <c r="T5" s="100">
        <v>2</v>
      </c>
      <c r="U5" s="18">
        <f aca="true" t="shared" si="2" ref="U5:U14">R5-B8</f>
        <v>-45.25</v>
      </c>
      <c r="V5" s="18">
        <f t="shared" si="0"/>
        <v>12</v>
      </c>
      <c r="W5" s="6"/>
      <c r="X5" s="11">
        <v>2</v>
      </c>
      <c r="Y5" s="18">
        <f>D24</f>
        <v>-42.98406862745098</v>
      </c>
      <c r="Z5" s="18">
        <f>D25</f>
        <v>5.0588235294117645</v>
      </c>
    </row>
    <row r="6" spans="17:26" ht="12.75" outlineLevel="1">
      <c r="Q6" s="11">
        <v>3</v>
      </c>
      <c r="R6" s="18">
        <f aca="true" t="shared" si="3" ref="R6:R14">R5-D9</f>
        <v>-43</v>
      </c>
      <c r="S6" s="18">
        <f t="shared" si="1"/>
        <v>12</v>
      </c>
      <c r="T6" s="100">
        <v>3</v>
      </c>
      <c r="U6" s="18">
        <f t="shared" si="2"/>
        <v>-43</v>
      </c>
      <c r="V6" s="18">
        <f t="shared" si="0"/>
        <v>12</v>
      </c>
      <c r="W6" s="6"/>
      <c r="X6" s="11">
        <v>3</v>
      </c>
      <c r="Y6" s="18">
        <f>B25-1/2*D23</f>
        <v>-46.40686274509804</v>
      </c>
      <c r="Z6" s="18">
        <f>D25</f>
        <v>5.0588235294117645</v>
      </c>
    </row>
    <row r="7" spans="1:27" ht="12.75" outlineLevel="1">
      <c r="A7" s="13" t="s">
        <v>3</v>
      </c>
      <c r="B7" s="104" t="s">
        <v>4</v>
      </c>
      <c r="C7" s="104" t="s">
        <v>5</v>
      </c>
      <c r="D7" s="104" t="s">
        <v>6</v>
      </c>
      <c r="E7" s="20"/>
      <c r="Q7" s="11">
        <v>4</v>
      </c>
      <c r="R7" s="18">
        <f t="shared" si="3"/>
        <v>-43</v>
      </c>
      <c r="S7" s="18">
        <f t="shared" si="1"/>
        <v>12</v>
      </c>
      <c r="T7" s="100">
        <v>4</v>
      </c>
      <c r="U7" s="18">
        <f t="shared" si="2"/>
        <v>-43</v>
      </c>
      <c r="V7" s="18">
        <f t="shared" si="0"/>
        <v>12</v>
      </c>
      <c r="W7" s="6"/>
      <c r="X7" s="6"/>
      <c r="Y7" s="6"/>
      <c r="Z7" s="6"/>
      <c r="AA7" s="6"/>
    </row>
    <row r="8" spans="1:27" ht="12.75" outlineLevel="1">
      <c r="A8" s="28">
        <v>1</v>
      </c>
      <c r="B8" s="103">
        <v>2.25</v>
      </c>
      <c r="C8" s="103">
        <v>12</v>
      </c>
      <c r="D8" s="103">
        <v>2</v>
      </c>
      <c r="E8" s="1"/>
      <c r="Q8" s="11">
        <v>5</v>
      </c>
      <c r="R8" s="18">
        <f t="shared" si="3"/>
        <v>-43</v>
      </c>
      <c r="S8" s="18">
        <f t="shared" si="1"/>
        <v>12</v>
      </c>
      <c r="T8" s="100">
        <v>5</v>
      </c>
      <c r="U8" s="18">
        <f t="shared" si="2"/>
        <v>-43</v>
      </c>
      <c r="V8" s="18">
        <f t="shared" si="0"/>
        <v>12</v>
      </c>
      <c r="W8" s="6"/>
      <c r="X8" s="6"/>
      <c r="Y8" s="6"/>
      <c r="Z8" s="6"/>
      <c r="AA8" s="6"/>
    </row>
    <row r="9" spans="1:27" ht="12.75" outlineLevel="1">
      <c r="A9" s="28"/>
      <c r="B9" s="55"/>
      <c r="C9" s="55"/>
      <c r="D9" s="55"/>
      <c r="E9" s="1"/>
      <c r="Q9" s="11">
        <v>6</v>
      </c>
      <c r="R9" s="18">
        <f t="shared" si="3"/>
        <v>-43</v>
      </c>
      <c r="S9" s="18">
        <f t="shared" si="1"/>
        <v>12</v>
      </c>
      <c r="T9" s="100">
        <v>6</v>
      </c>
      <c r="U9" s="18">
        <f t="shared" si="2"/>
        <v>-43</v>
      </c>
      <c r="V9" s="18">
        <f t="shared" si="0"/>
        <v>12</v>
      </c>
      <c r="W9" s="6"/>
      <c r="X9" s="6"/>
      <c r="Y9" s="6"/>
      <c r="Z9" s="6"/>
      <c r="AA9" s="6"/>
    </row>
    <row r="10" spans="1:27" ht="12.75" outlineLevel="1">
      <c r="A10" s="28"/>
      <c r="B10" s="55"/>
      <c r="C10" s="55"/>
      <c r="D10" s="55"/>
      <c r="E10" s="1"/>
      <c r="Q10" s="11">
        <v>7</v>
      </c>
      <c r="R10" s="18">
        <f t="shared" si="3"/>
        <v>-43</v>
      </c>
      <c r="S10" s="18">
        <f t="shared" si="1"/>
        <v>12</v>
      </c>
      <c r="T10" s="100">
        <v>7</v>
      </c>
      <c r="U10" s="18">
        <f t="shared" si="2"/>
        <v>-43</v>
      </c>
      <c r="V10" s="18">
        <f t="shared" si="0"/>
        <v>12</v>
      </c>
      <c r="W10" s="6"/>
      <c r="X10" s="6"/>
      <c r="Y10" s="6"/>
      <c r="Z10" s="6"/>
      <c r="AA10" s="6"/>
    </row>
    <row r="11" spans="1:27" ht="12.75" outlineLevel="1">
      <c r="A11" s="28"/>
      <c r="B11" s="55"/>
      <c r="C11" s="55"/>
      <c r="D11" s="55"/>
      <c r="E11" s="1"/>
      <c r="Q11" s="11">
        <v>8</v>
      </c>
      <c r="R11" s="18">
        <f t="shared" si="3"/>
        <v>-43</v>
      </c>
      <c r="S11" s="18">
        <f t="shared" si="1"/>
        <v>12</v>
      </c>
      <c r="T11" s="100">
        <v>8</v>
      </c>
      <c r="U11" s="18">
        <f t="shared" si="2"/>
        <v>-43</v>
      </c>
      <c r="V11" s="18">
        <f t="shared" si="0"/>
        <v>12</v>
      </c>
      <c r="W11" s="6"/>
      <c r="X11" s="6"/>
      <c r="Y11" s="6"/>
      <c r="Z11" s="6"/>
      <c r="AA11" s="6"/>
    </row>
    <row r="12" spans="1:27" ht="12.75" outlineLevel="1">
      <c r="A12" s="28"/>
      <c r="B12" s="55"/>
      <c r="C12" s="55"/>
      <c r="D12" s="55"/>
      <c r="E12" s="1"/>
      <c r="Q12" s="11">
        <v>9</v>
      </c>
      <c r="R12" s="18">
        <f t="shared" si="3"/>
        <v>-43</v>
      </c>
      <c r="S12" s="18">
        <f t="shared" si="1"/>
        <v>12</v>
      </c>
      <c r="T12" s="100">
        <v>9</v>
      </c>
      <c r="U12" s="18">
        <f t="shared" si="2"/>
        <v>-43</v>
      </c>
      <c r="V12" s="18">
        <f t="shared" si="0"/>
        <v>12</v>
      </c>
      <c r="W12" s="6"/>
      <c r="X12" s="6"/>
      <c r="Y12" s="6"/>
      <c r="Z12" s="6"/>
      <c r="AA12" s="6"/>
    </row>
    <row r="13" spans="1:27" ht="12.75" outlineLevel="1">
      <c r="A13" s="28"/>
      <c r="B13" s="55"/>
      <c r="C13" s="55"/>
      <c r="D13" s="55"/>
      <c r="E13" s="1"/>
      <c r="Q13" s="11">
        <v>10</v>
      </c>
      <c r="R13" s="18">
        <f t="shared" si="3"/>
        <v>-43</v>
      </c>
      <c r="S13" s="18">
        <f t="shared" si="1"/>
        <v>12</v>
      </c>
      <c r="T13" s="100">
        <v>10</v>
      </c>
      <c r="U13" s="18">
        <f t="shared" si="2"/>
        <v>-43</v>
      </c>
      <c r="V13" s="18">
        <f t="shared" si="0"/>
        <v>12</v>
      </c>
      <c r="W13" s="6"/>
      <c r="X13" s="6"/>
      <c r="Y13" s="6"/>
      <c r="Z13" s="6"/>
      <c r="AA13" s="6"/>
    </row>
    <row r="14" spans="1:27" ht="12.75" outlineLevel="1">
      <c r="A14" s="28"/>
      <c r="B14" s="55"/>
      <c r="C14" s="55"/>
      <c r="D14" s="55"/>
      <c r="E14" s="1"/>
      <c r="Q14" s="11">
        <v>11</v>
      </c>
      <c r="R14" s="18">
        <f t="shared" si="3"/>
        <v>-43</v>
      </c>
      <c r="S14" s="18">
        <f t="shared" si="1"/>
        <v>12</v>
      </c>
      <c r="T14" s="100">
        <v>11</v>
      </c>
      <c r="U14" s="18">
        <f t="shared" si="2"/>
        <v>-43</v>
      </c>
      <c r="V14" s="18">
        <f t="shared" si="0"/>
        <v>12</v>
      </c>
      <c r="W14" s="6"/>
      <c r="X14" s="6"/>
      <c r="Y14" s="6"/>
      <c r="Z14" s="6"/>
      <c r="AA14" s="6"/>
    </row>
    <row r="15" spans="1:5" ht="12.75" outlineLevel="1">
      <c r="A15" s="28"/>
      <c r="B15" s="55"/>
      <c r="C15" s="55"/>
      <c r="D15" s="55"/>
      <c r="E15" s="1"/>
    </row>
    <row r="16" spans="1:17" ht="12.75" outlineLevel="1">
      <c r="A16" s="28"/>
      <c r="B16" s="55"/>
      <c r="C16" s="55"/>
      <c r="D16" s="55"/>
      <c r="E16" s="1"/>
      <c r="Q16" s="3" t="s">
        <v>42</v>
      </c>
    </row>
    <row r="17" spans="1:40" ht="12.75" outlineLevel="1">
      <c r="A17" s="28"/>
      <c r="B17" s="55"/>
      <c r="C17" s="55"/>
      <c r="D17" s="55"/>
      <c r="E17" s="1"/>
      <c r="Q17" s="9" t="s">
        <v>22</v>
      </c>
      <c r="R17" s="11">
        <v>1</v>
      </c>
      <c r="S17" s="11">
        <v>2</v>
      </c>
      <c r="T17" s="11">
        <v>3</v>
      </c>
      <c r="U17" s="11">
        <v>4</v>
      </c>
      <c r="V17" s="11">
        <v>5</v>
      </c>
      <c r="W17" s="11">
        <v>6</v>
      </c>
      <c r="X17" s="11">
        <v>7</v>
      </c>
      <c r="Y17" s="11">
        <v>8</v>
      </c>
      <c r="Z17" s="11">
        <v>9</v>
      </c>
      <c r="AA17" s="11">
        <v>10</v>
      </c>
      <c r="AB17" s="11">
        <v>11</v>
      </c>
      <c r="AC17" s="11">
        <v>11</v>
      </c>
      <c r="AD17" s="11">
        <v>10</v>
      </c>
      <c r="AE17" s="11">
        <v>9</v>
      </c>
      <c r="AF17" s="11">
        <v>8</v>
      </c>
      <c r="AG17" s="11">
        <v>7</v>
      </c>
      <c r="AH17" s="11">
        <v>6</v>
      </c>
      <c r="AI17" s="11">
        <v>5</v>
      </c>
      <c r="AJ17" s="11">
        <v>4</v>
      </c>
      <c r="AK17" s="11">
        <v>3</v>
      </c>
      <c r="AL17" s="11">
        <v>2</v>
      </c>
      <c r="AM17" s="11">
        <v>1</v>
      </c>
      <c r="AN17" s="11">
        <v>1</v>
      </c>
    </row>
    <row r="18" spans="17:40" ht="12.75" outlineLevel="1">
      <c r="Q18" s="16" t="s">
        <v>20</v>
      </c>
      <c r="R18" s="18">
        <f>R4</f>
        <v>-41</v>
      </c>
      <c r="S18" s="18">
        <f>R5</f>
        <v>-43</v>
      </c>
      <c r="T18" s="18">
        <f>R6</f>
        <v>-43</v>
      </c>
      <c r="U18" s="18">
        <f>R7</f>
        <v>-43</v>
      </c>
      <c r="V18" s="18">
        <f>R8</f>
        <v>-43</v>
      </c>
      <c r="W18" s="18">
        <f>R9</f>
        <v>-43</v>
      </c>
      <c r="X18" s="18">
        <f>R10</f>
        <v>-43</v>
      </c>
      <c r="Y18" s="18">
        <f>R11</f>
        <v>-43</v>
      </c>
      <c r="Z18" s="18">
        <f>R12</f>
        <v>-43</v>
      </c>
      <c r="AA18" s="18">
        <f>R13</f>
        <v>-43</v>
      </c>
      <c r="AB18" s="18">
        <f>R14</f>
        <v>-43</v>
      </c>
      <c r="AC18" s="18">
        <f>U14</f>
        <v>-43</v>
      </c>
      <c r="AD18" s="18">
        <f>U13</f>
        <v>-43</v>
      </c>
      <c r="AE18" s="18">
        <f>U12</f>
        <v>-43</v>
      </c>
      <c r="AF18" s="18">
        <f>U11</f>
        <v>-43</v>
      </c>
      <c r="AG18" s="18">
        <f>U10</f>
        <v>-43</v>
      </c>
      <c r="AH18" s="18">
        <f>U9</f>
        <v>-43</v>
      </c>
      <c r="AI18" s="18">
        <f>U8</f>
        <v>-43</v>
      </c>
      <c r="AJ18" s="18">
        <f>U7</f>
        <v>-43</v>
      </c>
      <c r="AK18" s="18">
        <f>U6</f>
        <v>-43</v>
      </c>
      <c r="AL18" s="18">
        <f>U5</f>
        <v>-45.25</v>
      </c>
      <c r="AM18" s="18">
        <f>U4</f>
        <v>-47.25</v>
      </c>
      <c r="AN18" s="18">
        <f>R4</f>
        <v>-41</v>
      </c>
    </row>
    <row r="19" spans="1:40" ht="12.75" outlineLevel="1">
      <c r="A19" s="11" t="s">
        <v>47</v>
      </c>
      <c r="B19" s="23" t="s">
        <v>7</v>
      </c>
      <c r="Q19" s="9" t="s">
        <v>41</v>
      </c>
      <c r="R19" s="18">
        <f>S4</f>
        <v>0</v>
      </c>
      <c r="S19" s="18">
        <f>R19+C8*SIN($B$20*PI()/180)</f>
        <v>12</v>
      </c>
      <c r="T19" s="18">
        <f>S19+C9*SIN($B$20*PI()/180)</f>
        <v>12</v>
      </c>
      <c r="U19" s="18">
        <f>T19+C10*SIN($B$20*PI()/180)</f>
        <v>12</v>
      </c>
      <c r="V19" s="18">
        <f>U19+C11*SIN($B$20*PI()/180)</f>
        <v>12</v>
      </c>
      <c r="W19" s="18">
        <f>V19+C12*SIN($B$20*PI()/180)</f>
        <v>12</v>
      </c>
      <c r="X19" s="18">
        <f>W19+C13*SIN($B$20*PI()/180)</f>
        <v>12</v>
      </c>
      <c r="Y19" s="18">
        <f>X19+C14*SIN($B$20*PI()/180)</f>
        <v>12</v>
      </c>
      <c r="Z19" s="18">
        <f>Y19+C15*SIN($B$20*PI()/180)</f>
        <v>12</v>
      </c>
      <c r="AA19" s="18">
        <f>Z19+C16*SIN($B$20*PI()/180)</f>
        <v>12</v>
      </c>
      <c r="AB19" s="18">
        <f>AA19+C17*SIN($B$20*PI()/180)</f>
        <v>12</v>
      </c>
      <c r="AC19" s="18">
        <f>AB19</f>
        <v>12</v>
      </c>
      <c r="AD19" s="18">
        <f>AA19</f>
        <v>12</v>
      </c>
      <c r="AE19" s="18">
        <f>Z19</f>
        <v>12</v>
      </c>
      <c r="AF19" s="18">
        <f>Y19</f>
        <v>12</v>
      </c>
      <c r="AG19" s="18">
        <f>X19</f>
        <v>12</v>
      </c>
      <c r="AH19" s="18">
        <f>W19</f>
        <v>12</v>
      </c>
      <c r="AI19" s="18">
        <f>V19</f>
        <v>12</v>
      </c>
      <c r="AJ19" s="18">
        <f>U19</f>
        <v>12</v>
      </c>
      <c r="AK19" s="18">
        <f>T19</f>
        <v>12</v>
      </c>
      <c r="AL19" s="18">
        <f>S19</f>
        <v>12</v>
      </c>
      <c r="AM19" s="18">
        <f>R19</f>
        <v>0</v>
      </c>
      <c r="AN19" s="18">
        <f>R19</f>
        <v>0</v>
      </c>
    </row>
    <row r="20" spans="1:40" ht="12.75" outlineLevel="1">
      <c r="A20" s="105">
        <v>1</v>
      </c>
      <c r="B20" s="103">
        <v>90</v>
      </c>
      <c r="Q20" s="9" t="s">
        <v>49</v>
      </c>
      <c r="R20" s="18">
        <f>B5</f>
        <v>0</v>
      </c>
      <c r="S20" s="18">
        <f>R20+C8*COS($B$20*PI()/180)</f>
        <v>7.35089072945172E-16</v>
      </c>
      <c r="T20" s="18">
        <f>S20+C9*COS($B$20*PI()/180)</f>
        <v>7.35089072945172E-16</v>
      </c>
      <c r="U20" s="18">
        <f>T20+C10*COS($B$20*PI()/180)</f>
        <v>7.35089072945172E-16</v>
      </c>
      <c r="V20" s="18">
        <f>U20+C11*COS($B$20*PI()/180)</f>
        <v>7.35089072945172E-16</v>
      </c>
      <c r="W20" s="18">
        <f>V20+C12*COS($B$20*PI()/180)</f>
        <v>7.35089072945172E-16</v>
      </c>
      <c r="X20" s="18">
        <f>W20+C13*COS($B$20*PI()/180)</f>
        <v>7.35089072945172E-16</v>
      </c>
      <c r="Y20" s="18">
        <f>X20+C14*COS($B$20*PI()/180)</f>
        <v>7.35089072945172E-16</v>
      </c>
      <c r="Z20" s="18">
        <f>Y20+C15*COS($B$20*PI()/180)</f>
        <v>7.35089072945172E-16</v>
      </c>
      <c r="AA20" s="18">
        <f>Z20+C16*COS($B$20*PI()/180)</f>
        <v>7.35089072945172E-16</v>
      </c>
      <c r="AB20" s="18">
        <f>AA20+C17*COS($B$20*PI()/180)</f>
        <v>7.35089072945172E-16</v>
      </c>
      <c r="AC20" s="18">
        <f>AB20</f>
        <v>7.35089072945172E-16</v>
      </c>
      <c r="AD20" s="18">
        <f>AA20</f>
        <v>7.35089072945172E-16</v>
      </c>
      <c r="AE20" s="18">
        <f>Z20</f>
        <v>7.35089072945172E-16</v>
      </c>
      <c r="AF20" s="18">
        <f>Y20</f>
        <v>7.35089072945172E-16</v>
      </c>
      <c r="AG20" s="18">
        <f>X20</f>
        <v>7.35089072945172E-16</v>
      </c>
      <c r="AH20" s="18">
        <f>W20</f>
        <v>7.35089072945172E-16</v>
      </c>
      <c r="AI20" s="18">
        <f>V20</f>
        <v>7.35089072945172E-16</v>
      </c>
      <c r="AJ20" s="18">
        <f>U20</f>
        <v>7.35089072945172E-16</v>
      </c>
      <c r="AK20" s="18">
        <f>T20</f>
        <v>7.35089072945172E-16</v>
      </c>
      <c r="AL20" s="18">
        <f>S20</f>
        <v>7.35089072945172E-16</v>
      </c>
      <c r="AM20" s="18">
        <f>R20</f>
        <v>0</v>
      </c>
      <c r="AN20" s="18">
        <f>R20</f>
        <v>0</v>
      </c>
    </row>
    <row r="21" spans="17:40" ht="12.75" outlineLevel="1">
      <c r="Q21" s="9" t="s">
        <v>48</v>
      </c>
      <c r="R21" s="18">
        <f>IF($A$20=2,-R20,R20)</f>
        <v>0</v>
      </c>
      <c r="S21" s="18">
        <f aca="true" t="shared" si="4" ref="S21:AB21">IF($A$20=2,-S20,S20)</f>
        <v>7.35089072945172E-16</v>
      </c>
      <c r="T21" s="18">
        <f t="shared" si="4"/>
        <v>7.35089072945172E-16</v>
      </c>
      <c r="U21" s="18">
        <f t="shared" si="4"/>
        <v>7.35089072945172E-16</v>
      </c>
      <c r="V21" s="18">
        <f t="shared" si="4"/>
        <v>7.35089072945172E-16</v>
      </c>
      <c r="W21" s="18">
        <f t="shared" si="4"/>
        <v>7.35089072945172E-16</v>
      </c>
      <c r="X21" s="18">
        <f t="shared" si="4"/>
        <v>7.35089072945172E-16</v>
      </c>
      <c r="Y21" s="18">
        <f t="shared" si="4"/>
        <v>7.35089072945172E-16</v>
      </c>
      <c r="Z21" s="18">
        <f t="shared" si="4"/>
        <v>7.35089072945172E-16</v>
      </c>
      <c r="AA21" s="18">
        <f t="shared" si="4"/>
        <v>7.35089072945172E-16</v>
      </c>
      <c r="AB21" s="18">
        <f t="shared" si="4"/>
        <v>7.35089072945172E-16</v>
      </c>
      <c r="AC21" s="18">
        <f aca="true" t="shared" si="5" ref="AC21:AN21">IF($A$20=2,-AC20,AC20)</f>
        <v>7.35089072945172E-16</v>
      </c>
      <c r="AD21" s="18">
        <f t="shared" si="5"/>
        <v>7.35089072945172E-16</v>
      </c>
      <c r="AE21" s="18">
        <f t="shared" si="5"/>
        <v>7.35089072945172E-16</v>
      </c>
      <c r="AF21" s="18">
        <f t="shared" si="5"/>
        <v>7.35089072945172E-16</v>
      </c>
      <c r="AG21" s="18">
        <f t="shared" si="5"/>
        <v>7.35089072945172E-16</v>
      </c>
      <c r="AH21" s="18">
        <f t="shared" si="5"/>
        <v>7.35089072945172E-16</v>
      </c>
      <c r="AI21" s="18">
        <f t="shared" si="5"/>
        <v>7.35089072945172E-16</v>
      </c>
      <c r="AJ21" s="18">
        <f t="shared" si="5"/>
        <v>7.35089072945172E-16</v>
      </c>
      <c r="AK21" s="18">
        <f t="shared" si="5"/>
        <v>7.35089072945172E-16</v>
      </c>
      <c r="AL21" s="18">
        <f t="shared" si="5"/>
        <v>7.35089072945172E-16</v>
      </c>
      <c r="AM21" s="18">
        <f t="shared" si="5"/>
        <v>0</v>
      </c>
      <c r="AN21" s="18">
        <f t="shared" si="5"/>
        <v>0</v>
      </c>
    </row>
    <row r="22" spans="1:40" ht="12" outlineLevel="1">
      <c r="A22" s="7" t="s">
        <v>60</v>
      </c>
      <c r="B22" s="7"/>
      <c r="Q22" s="21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2" outlineLevel="1">
      <c r="A23" s="11" t="s">
        <v>5</v>
      </c>
      <c r="B23" s="106">
        <v>12</v>
      </c>
      <c r="C23" s="23" t="s">
        <v>15</v>
      </c>
      <c r="D23" s="106">
        <v>4.56372549019608</v>
      </c>
      <c r="Q23" s="10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" ht="12" outlineLevel="1">
      <c r="A24" s="28" t="s">
        <v>50</v>
      </c>
      <c r="B24" s="107">
        <v>51</v>
      </c>
      <c r="C24" s="55" t="s">
        <v>16</v>
      </c>
      <c r="D24" s="107">
        <v>-42.98406862745098</v>
      </c>
    </row>
    <row r="25" spans="1:6" ht="12" outlineLevel="1">
      <c r="A25" s="28" t="s">
        <v>13</v>
      </c>
      <c r="B25" s="107">
        <v>-44.125</v>
      </c>
      <c r="C25" s="55" t="s">
        <v>43</v>
      </c>
      <c r="D25" s="107">
        <v>5.0588235294117645</v>
      </c>
      <c r="F25" s="99"/>
    </row>
    <row r="26" ht="12" outlineLevel="1"/>
    <row r="27" spans="1:2" ht="12" outlineLevel="1">
      <c r="A27" s="7" t="s">
        <v>61</v>
      </c>
      <c r="B27" s="7"/>
    </row>
    <row r="28" spans="1:4" ht="12" outlineLevel="1">
      <c r="A28" s="11" t="s">
        <v>10</v>
      </c>
      <c r="B28" s="106">
        <v>0</v>
      </c>
      <c r="C28" s="23" t="s">
        <v>12</v>
      </c>
      <c r="D28" s="106">
        <v>0</v>
      </c>
    </row>
    <row r="29" spans="1:4" ht="12" outlineLevel="1">
      <c r="A29" s="28" t="s">
        <v>44</v>
      </c>
      <c r="B29" s="107">
        <v>51</v>
      </c>
      <c r="C29" s="55" t="s">
        <v>30</v>
      </c>
      <c r="D29" s="107">
        <v>0</v>
      </c>
    </row>
    <row r="30" spans="1:4" ht="12" outlineLevel="1">
      <c r="A30" s="28" t="s">
        <v>45</v>
      </c>
      <c r="B30" s="107">
        <v>0</v>
      </c>
      <c r="C30" s="55" t="s">
        <v>32</v>
      </c>
      <c r="D30" s="107">
        <v>0</v>
      </c>
    </row>
    <row r="31" ht="12" outlineLevel="1"/>
    <row r="32" ht="12" outlineLevel="1"/>
    <row r="33" ht="12" outlineLevel="1"/>
    <row r="34" ht="12" outlineLevel="1"/>
    <row r="35" ht="12" outlineLevel="1"/>
    <row r="36" ht="12" outlineLevel="1"/>
    <row r="37" ht="12" outlineLevel="1"/>
    <row r="38" ht="12" outlineLevel="1"/>
    <row r="39" ht="12" outlineLevel="1"/>
    <row r="40" ht="12" outlineLevel="1"/>
    <row r="41" ht="12" outlineLevel="1"/>
    <row r="42" ht="12" outlineLevel="1"/>
    <row r="43" ht="12" outlineLevel="1"/>
    <row r="44" ht="12" outlineLevel="1"/>
  </sheetData>
  <sheetProtection password="AE35" sheet="1" objects="1" scenarios="1" formatCells="0"/>
  <printOptions/>
  <pageMargins left="0.75" right="0.75" top="1" bottom="1" header="0.5" footer="0.5"/>
  <pageSetup orientation="portrait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S82"/>
  <sheetViews>
    <sheetView showGridLines="0" workbookViewId="0" topLeftCell="A2">
      <selection activeCell="C12" sqref="C12"/>
    </sheetView>
  </sheetViews>
  <sheetFormatPr defaultColWidth="9.140625" defaultRowHeight="12.75"/>
  <cols>
    <col min="1" max="16384" width="9.140625" style="3" customWidth="1"/>
  </cols>
  <sheetData>
    <row r="1" ht="12.75">
      <c r="A1" s="2" t="s">
        <v>54</v>
      </c>
    </row>
    <row r="3" ht="12">
      <c r="A3" s="3" t="s">
        <v>56</v>
      </c>
    </row>
    <row r="4" ht="12">
      <c r="A4" s="3" t="s">
        <v>207</v>
      </c>
    </row>
    <row r="5" ht="12">
      <c r="A5" s="3" t="s">
        <v>208</v>
      </c>
    </row>
    <row r="6" spans="16:19" ht="12">
      <c r="P6" s="25"/>
      <c r="Q6" s="25"/>
      <c r="R6" s="25"/>
      <c r="S6" s="25"/>
    </row>
    <row r="7" spans="1:19" ht="12">
      <c r="A7" s="7" t="s">
        <v>8</v>
      </c>
      <c r="G7" s="3" t="s">
        <v>59</v>
      </c>
      <c r="P7" s="25"/>
      <c r="Q7" s="25"/>
      <c r="R7" s="25"/>
      <c r="S7" s="25"/>
    </row>
    <row r="8" spans="1:19" ht="12">
      <c r="A8" s="11" t="s">
        <v>22</v>
      </c>
      <c r="B8" s="11" t="s">
        <v>20</v>
      </c>
      <c r="C8" s="11" t="s">
        <v>21</v>
      </c>
      <c r="E8" s="9" t="s">
        <v>55</v>
      </c>
      <c r="G8" s="9" t="s">
        <v>58</v>
      </c>
      <c r="P8" s="25"/>
      <c r="Q8" s="25"/>
      <c r="R8" s="25"/>
      <c r="S8" s="25"/>
    </row>
    <row r="9" spans="1:19" ht="12">
      <c r="A9" s="11">
        <v>1</v>
      </c>
      <c r="B9" s="29">
        <v>12</v>
      </c>
      <c r="C9" s="29">
        <v>0.1</v>
      </c>
      <c r="E9" s="12">
        <v>6</v>
      </c>
      <c r="G9" s="12">
        <v>0</v>
      </c>
      <c r="P9" s="26">
        <v>1</v>
      </c>
      <c r="Q9" s="27">
        <f>B9</f>
        <v>12</v>
      </c>
      <c r="R9" s="27">
        <f>C9</f>
        <v>0.1</v>
      </c>
      <c r="S9" s="26"/>
    </row>
    <row r="10" spans="1:19" ht="12">
      <c r="A10" s="15">
        <v>2</v>
      </c>
      <c r="B10" s="12">
        <v>11.75</v>
      </c>
      <c r="C10" s="12">
        <v>0.7</v>
      </c>
      <c r="P10" s="26">
        <v>2</v>
      </c>
      <c r="Q10" s="27">
        <f>IF($E$9&gt;=P10,B11,Q9)</f>
        <v>9</v>
      </c>
      <c r="R10" s="27">
        <f>IF($E$9&gt;=P10,C11,R9)</f>
        <v>0.75</v>
      </c>
      <c r="S10" s="27" t="str">
        <f>IF(OR(R10&lt;&gt;R9,Q10&lt;&gt;Q9),"Point 2","")</f>
        <v>Point 2</v>
      </c>
    </row>
    <row r="11" spans="1:19" ht="12">
      <c r="A11" s="15">
        <v>3</v>
      </c>
      <c r="B11" s="12">
        <v>9</v>
      </c>
      <c r="C11" s="12">
        <v>0.75</v>
      </c>
      <c r="P11" s="26">
        <v>3</v>
      </c>
      <c r="Q11" s="27">
        <f>IF($E$9&gt;=P11,B12,Q10)</f>
        <v>1</v>
      </c>
      <c r="R11" s="27">
        <f>IF($E$9&gt;=P11,C12,R10)</f>
        <v>0.8</v>
      </c>
      <c r="S11" s="27" t="str">
        <f>IF(OR(R11&lt;&gt;R10,Q11&lt;&gt;Q10),"Point 3","")</f>
        <v>Point 3</v>
      </c>
    </row>
    <row r="12" spans="1:19" ht="12">
      <c r="A12" s="15">
        <v>4</v>
      </c>
      <c r="B12" s="12">
        <v>1</v>
      </c>
      <c r="C12" s="12">
        <v>0.8</v>
      </c>
      <c r="I12" s="24"/>
      <c r="P12" s="26">
        <v>4</v>
      </c>
      <c r="Q12" s="27">
        <f>IF($E$9&gt;=P12,B13,Q11)</f>
        <v>0</v>
      </c>
      <c r="R12" s="27">
        <f>IF($E$9&gt;=P12,C13,R11)</f>
        <v>0.75</v>
      </c>
      <c r="S12" s="27" t="str">
        <f>IF(OR(R12&lt;&gt;R11,Q12&lt;&gt;Q11),"Point 4","")</f>
        <v>Point 4</v>
      </c>
    </row>
    <row r="13" spans="1:19" ht="12">
      <c r="A13" s="15">
        <v>5</v>
      </c>
      <c r="B13" s="12">
        <v>0</v>
      </c>
      <c r="C13" s="12">
        <v>0.75</v>
      </c>
      <c r="I13" s="24"/>
      <c r="P13" s="26">
        <v>5</v>
      </c>
      <c r="Q13" s="27">
        <f>IF($E$9&gt;=P13,B14,Q12)</f>
        <v>-24</v>
      </c>
      <c r="R13" s="27">
        <f>IF($E$9&gt;=P13,C14,R12)</f>
        <v>0.3</v>
      </c>
      <c r="S13" s="27" t="str">
        <f>IF(OR(R13&lt;&gt;R12,Q13&lt;&gt;Q12),"Point 5","")</f>
        <v>Point 5</v>
      </c>
    </row>
    <row r="14" spans="1:19" ht="12">
      <c r="A14" s="15">
        <v>6</v>
      </c>
      <c r="B14" s="12">
        <v>-24</v>
      </c>
      <c r="C14" s="12">
        <v>0.3</v>
      </c>
      <c r="I14" s="24"/>
      <c r="P14" s="26">
        <v>6</v>
      </c>
      <c r="Q14" s="27">
        <f>IF($E$9&gt;=P14,B15,Q13)</f>
        <v>-43</v>
      </c>
      <c r="R14" s="27">
        <f>IF($E$9&gt;=P14,C15,R13)</f>
        <v>0.25</v>
      </c>
      <c r="S14" s="27" t="str">
        <f>IF(OR(R14&lt;&gt;R13,Q14&lt;&gt;Q13),"Point 6","")</f>
        <v>Point 6</v>
      </c>
    </row>
    <row r="15" spans="1:19" ht="12">
      <c r="A15" s="15"/>
      <c r="B15" s="15">
        <v>-43</v>
      </c>
      <c r="C15" s="15">
        <v>0.25</v>
      </c>
      <c r="I15" s="24"/>
      <c r="P15" s="26">
        <v>7</v>
      </c>
      <c r="Q15" s="27">
        <f>IF($E$9&gt;=P15,#REF!,Q14)</f>
        <v>-43</v>
      </c>
      <c r="R15" s="27">
        <f>IF($E$9&gt;=P15,#REF!,R14)</f>
        <v>0.25</v>
      </c>
      <c r="S15" s="27">
        <f>IF(OR(R15&lt;&gt;R14,Q15&lt;&gt;Q14),"Point 7","")</f>
      </c>
    </row>
    <row r="16" spans="1:19" ht="12">
      <c r="A16" s="15"/>
      <c r="B16" s="15"/>
      <c r="C16" s="15"/>
      <c r="I16" s="24"/>
      <c r="P16" s="26">
        <v>8</v>
      </c>
      <c r="Q16" s="27">
        <f aca="true" t="shared" si="0" ref="Q16:Q28">IF($E$9&gt;=P16,B16,Q15)</f>
        <v>-43</v>
      </c>
      <c r="R16" s="27">
        <f aca="true" t="shared" si="1" ref="R16:R28">IF($E$9&gt;=P16,C16,R15)</f>
        <v>0.25</v>
      </c>
      <c r="S16" s="27">
        <f>IF(OR(R16&lt;&gt;R15,Q16&lt;&gt;Q15),"Point 8","")</f>
      </c>
    </row>
    <row r="17" spans="1:19" ht="12">
      <c r="A17" s="15"/>
      <c r="B17" s="15"/>
      <c r="C17" s="15"/>
      <c r="I17" s="24"/>
      <c r="P17" s="26">
        <v>9</v>
      </c>
      <c r="Q17" s="27">
        <f t="shared" si="0"/>
        <v>-43</v>
      </c>
      <c r="R17" s="27">
        <f t="shared" si="1"/>
        <v>0.25</v>
      </c>
      <c r="S17" s="27">
        <f>IF(OR(R17&lt;&gt;R16,Q17&lt;&gt;Q16),"Point 9","")</f>
      </c>
    </row>
    <row r="18" spans="1:19" ht="12">
      <c r="A18" s="15"/>
      <c r="B18" s="15"/>
      <c r="C18" s="15"/>
      <c r="I18" s="24"/>
      <c r="P18" s="26">
        <v>10</v>
      </c>
      <c r="Q18" s="27">
        <f t="shared" si="0"/>
        <v>-43</v>
      </c>
      <c r="R18" s="27">
        <f t="shared" si="1"/>
        <v>0.25</v>
      </c>
      <c r="S18" s="27">
        <f>IF(OR(R18&lt;&gt;R17,Q18&lt;&gt;Q17),"Point 10","")</f>
      </c>
    </row>
    <row r="19" spans="1:19" ht="12">
      <c r="A19" s="15"/>
      <c r="B19" s="15"/>
      <c r="C19" s="15"/>
      <c r="I19" s="24"/>
      <c r="P19" s="26">
        <v>11</v>
      </c>
      <c r="Q19" s="27">
        <f t="shared" si="0"/>
        <v>-43</v>
      </c>
      <c r="R19" s="27">
        <f t="shared" si="1"/>
        <v>0.25</v>
      </c>
      <c r="S19" s="27">
        <f>IF(OR(R19&lt;&gt;R18,Q19&lt;&gt;Q18),"Point 11","")</f>
      </c>
    </row>
    <row r="20" spans="1:19" ht="12">
      <c r="A20" s="15"/>
      <c r="B20" s="15"/>
      <c r="C20" s="15"/>
      <c r="I20" s="24"/>
      <c r="P20" s="26">
        <v>12</v>
      </c>
      <c r="Q20" s="27">
        <f t="shared" si="0"/>
        <v>-43</v>
      </c>
      <c r="R20" s="27">
        <f t="shared" si="1"/>
        <v>0.25</v>
      </c>
      <c r="S20" s="27">
        <f>IF(OR(R20&lt;&gt;R19,Q20&lt;&gt;Q19),"Point 12","")</f>
      </c>
    </row>
    <row r="21" spans="1:19" ht="12">
      <c r="A21" s="15"/>
      <c r="B21" s="15"/>
      <c r="C21" s="15"/>
      <c r="I21" s="24"/>
      <c r="P21" s="26">
        <v>13</v>
      </c>
      <c r="Q21" s="27">
        <f t="shared" si="0"/>
        <v>-43</v>
      </c>
      <c r="R21" s="27">
        <f t="shared" si="1"/>
        <v>0.25</v>
      </c>
      <c r="S21" s="27">
        <f>IF(OR(R21&lt;&gt;R20,Q21&lt;&gt;Q20),"Point 13","")</f>
      </c>
    </row>
    <row r="22" spans="1:19" ht="12">
      <c r="A22" s="15"/>
      <c r="B22" s="15"/>
      <c r="C22" s="15"/>
      <c r="I22" s="24"/>
      <c r="P22" s="26">
        <v>14</v>
      </c>
      <c r="Q22" s="27">
        <f t="shared" si="0"/>
        <v>-43</v>
      </c>
      <c r="R22" s="27">
        <f t="shared" si="1"/>
        <v>0.25</v>
      </c>
      <c r="S22" s="27">
        <f>IF(OR(R22&lt;&gt;R21,Q22&lt;&gt;Q21),"Point 14","")</f>
      </c>
    </row>
    <row r="23" spans="1:19" ht="12">
      <c r="A23" s="15"/>
      <c r="B23" s="15"/>
      <c r="C23" s="15"/>
      <c r="I23" s="24"/>
      <c r="P23" s="26">
        <v>15</v>
      </c>
      <c r="Q23" s="27">
        <f t="shared" si="0"/>
        <v>-43</v>
      </c>
      <c r="R23" s="27">
        <f t="shared" si="1"/>
        <v>0.25</v>
      </c>
      <c r="S23" s="27">
        <f>IF(OR(R23&lt;&gt;R22,Q23&lt;&gt;Q22),"Point 15","")</f>
      </c>
    </row>
    <row r="24" spans="1:19" ht="12">
      <c r="A24" s="15"/>
      <c r="B24" s="15"/>
      <c r="C24" s="15"/>
      <c r="I24" s="24"/>
      <c r="P24" s="26">
        <v>16</v>
      </c>
      <c r="Q24" s="27">
        <f t="shared" si="0"/>
        <v>-43</v>
      </c>
      <c r="R24" s="27">
        <f t="shared" si="1"/>
        <v>0.25</v>
      </c>
      <c r="S24" s="27">
        <f>IF(OR(R24&lt;&gt;R23,Q24&lt;&gt;Q23),"Point 16","")</f>
      </c>
    </row>
    <row r="25" spans="1:19" ht="12">
      <c r="A25" s="15"/>
      <c r="B25" s="15"/>
      <c r="C25" s="15"/>
      <c r="P25" s="26">
        <v>17</v>
      </c>
      <c r="Q25" s="27">
        <f t="shared" si="0"/>
        <v>-43</v>
      </c>
      <c r="R25" s="27">
        <f t="shared" si="1"/>
        <v>0.25</v>
      </c>
      <c r="S25" s="27">
        <f>IF(OR(R25&lt;&gt;R24,Q25&lt;&gt;Q24),"Point 17","")</f>
      </c>
    </row>
    <row r="26" spans="1:19" ht="12">
      <c r="A26" s="15"/>
      <c r="B26" s="15"/>
      <c r="C26" s="15"/>
      <c r="P26" s="26">
        <v>18</v>
      </c>
      <c r="Q26" s="27">
        <f t="shared" si="0"/>
        <v>-43</v>
      </c>
      <c r="R26" s="27">
        <f t="shared" si="1"/>
        <v>0.25</v>
      </c>
      <c r="S26" s="27">
        <f>IF(OR(R26&lt;&gt;R25,Q26&lt;&gt;Q25),"Point 18","")</f>
      </c>
    </row>
    <row r="27" spans="1:19" ht="12">
      <c r="A27" s="15"/>
      <c r="B27" s="15"/>
      <c r="C27" s="15"/>
      <c r="P27" s="26">
        <v>19</v>
      </c>
      <c r="Q27" s="27">
        <f t="shared" si="0"/>
        <v>-43</v>
      </c>
      <c r="R27" s="27">
        <f t="shared" si="1"/>
        <v>0.25</v>
      </c>
      <c r="S27" s="27">
        <f>IF(OR(R27&lt;&gt;R26,Q27&lt;&gt;Q26),"Point 19","")</f>
      </c>
    </row>
    <row r="28" spans="1:19" ht="12">
      <c r="A28" s="15"/>
      <c r="B28" s="15"/>
      <c r="C28" s="15"/>
      <c r="P28" s="26">
        <v>20</v>
      </c>
      <c r="Q28" s="27">
        <f t="shared" si="0"/>
        <v>-43</v>
      </c>
      <c r="R28" s="27">
        <f t="shared" si="1"/>
        <v>0.25</v>
      </c>
      <c r="S28" s="27">
        <f>IF(OR(R28&lt;&gt;R27,Q28&lt;&gt;Q27),"Point 20","")</f>
      </c>
    </row>
    <row r="29" spans="16:19" ht="12">
      <c r="P29" s="26">
        <v>20</v>
      </c>
      <c r="Q29" s="27">
        <f>Q28</f>
        <v>-43</v>
      </c>
      <c r="R29" s="27">
        <f>-R28</f>
        <v>-0.25</v>
      </c>
      <c r="S29" s="26"/>
    </row>
    <row r="30" spans="1:19" ht="12">
      <c r="A30" s="7" t="s">
        <v>9</v>
      </c>
      <c r="C30" s="5" t="s">
        <v>20</v>
      </c>
      <c r="D30" s="5" t="s">
        <v>21</v>
      </c>
      <c r="P30" s="26">
        <v>19</v>
      </c>
      <c r="Q30" s="27">
        <f>Q27</f>
        <v>-43</v>
      </c>
      <c r="R30" s="27">
        <f>-R27</f>
        <v>-0.25</v>
      </c>
      <c r="S30" s="26"/>
    </row>
    <row r="31" spans="1:19" ht="12">
      <c r="A31" s="109" t="s">
        <v>86</v>
      </c>
      <c r="B31" s="110"/>
      <c r="C31" s="17">
        <v>-0.0095721768725571</v>
      </c>
      <c r="D31" s="17">
        <v>0.7498205216836396</v>
      </c>
      <c r="E31" s="27">
        <f>-D31</f>
        <v>-0.7498205216836396</v>
      </c>
      <c r="F31" s="30" t="s">
        <v>84</v>
      </c>
      <c r="G31" s="23"/>
      <c r="H31" s="17">
        <v>43.337500000000006</v>
      </c>
      <c r="J31" s="43"/>
      <c r="P31" s="26">
        <v>18</v>
      </c>
      <c r="Q31" s="27">
        <f>Q26</f>
        <v>-43</v>
      </c>
      <c r="R31" s="27">
        <f>-R26</f>
        <v>-0.25</v>
      </c>
      <c r="S31" s="26"/>
    </row>
    <row r="32" spans="1:19" ht="12">
      <c r="A32" s="111"/>
      <c r="B32" s="112"/>
      <c r="C32" s="17">
        <v>-9.10774634769419</v>
      </c>
      <c r="D32" s="17">
        <v>0.5792297559807339</v>
      </c>
      <c r="E32" s="27">
        <f>-D32</f>
        <v>-0.5792297559807339</v>
      </c>
      <c r="F32" s="30" t="s">
        <v>85</v>
      </c>
      <c r="G32" s="23"/>
      <c r="H32" s="17">
        <v>-3.5367512739159697</v>
      </c>
      <c r="J32" s="43"/>
      <c r="P32" s="26">
        <v>17</v>
      </c>
      <c r="Q32" s="27">
        <f>Q25</f>
        <v>-43</v>
      </c>
      <c r="R32" s="27">
        <f>-R25</f>
        <v>-0.25</v>
      </c>
      <c r="S32" s="26"/>
    </row>
    <row r="33" spans="1:19" ht="12">
      <c r="A33" s="32" t="s">
        <v>88</v>
      </c>
      <c r="B33" s="33"/>
      <c r="C33" s="35">
        <v>12.109102151440421</v>
      </c>
      <c r="F33" s="30" t="s">
        <v>87</v>
      </c>
      <c r="G33" s="23"/>
      <c r="H33" s="17">
        <v>0</v>
      </c>
      <c r="J33" s="43"/>
      <c r="P33" s="26">
        <v>16</v>
      </c>
      <c r="Q33" s="27">
        <f>Q24</f>
        <v>-43</v>
      </c>
      <c r="R33" s="27">
        <f>-R24</f>
        <v>-0.25</v>
      </c>
      <c r="S33" s="26"/>
    </row>
    <row r="34" spans="1:19" ht="12">
      <c r="A34" s="31" t="s">
        <v>81</v>
      </c>
      <c r="B34" s="34"/>
      <c r="C34" s="17">
        <v>74</v>
      </c>
      <c r="P34" s="26">
        <v>15</v>
      </c>
      <c r="Q34" s="27">
        <f>Q23</f>
        <v>-43</v>
      </c>
      <c r="R34" s="27">
        <f>-R23</f>
        <v>-0.25</v>
      </c>
      <c r="S34" s="26"/>
    </row>
    <row r="35" spans="1:19" ht="12">
      <c r="A35" s="1"/>
      <c r="B35" s="15" t="s">
        <v>82</v>
      </c>
      <c r="C35" s="17">
        <v>33</v>
      </c>
      <c r="J35" s="1"/>
      <c r="K35" s="1"/>
      <c r="P35" s="26">
        <v>14</v>
      </c>
      <c r="Q35" s="27">
        <f>Q22</f>
        <v>-43</v>
      </c>
      <c r="R35" s="27">
        <f>-R22</f>
        <v>-0.25</v>
      </c>
      <c r="S35" s="26"/>
    </row>
    <row r="36" spans="1:19" ht="12.75">
      <c r="A36" s="1"/>
      <c r="B36" s="15" t="s">
        <v>83</v>
      </c>
      <c r="C36" s="17">
        <v>41</v>
      </c>
      <c r="J36" s="1"/>
      <c r="K36" s="1"/>
      <c r="P36" s="26">
        <v>13</v>
      </c>
      <c r="Q36" s="27">
        <f>Q21</f>
        <v>-43</v>
      </c>
      <c r="R36" s="27">
        <f>-R21</f>
        <v>-0.25</v>
      </c>
      <c r="S36" s="26"/>
    </row>
    <row r="37" spans="1:19" ht="14.25">
      <c r="A37" s="30" t="s">
        <v>89</v>
      </c>
      <c r="B37" s="34"/>
      <c r="C37" s="17">
        <v>0.008273082098584994</v>
      </c>
      <c r="J37" s="74" t="b">
        <v>0</v>
      </c>
      <c r="K37" s="1"/>
      <c r="P37" s="26">
        <v>12</v>
      </c>
      <c r="Q37" s="27">
        <f>Q20</f>
        <v>-43</v>
      </c>
      <c r="R37" s="27">
        <f>-R20</f>
        <v>-0.25</v>
      </c>
      <c r="S37" s="26"/>
    </row>
    <row r="38" spans="10:19" ht="12.75">
      <c r="J38" s="1"/>
      <c r="K38" s="1"/>
      <c r="P38" s="26">
        <v>11</v>
      </c>
      <c r="Q38" s="27">
        <f>Q19</f>
        <v>-43</v>
      </c>
      <c r="R38" s="27">
        <f>-R19</f>
        <v>-0.25</v>
      </c>
      <c r="S38" s="26"/>
    </row>
    <row r="39" spans="10:19" ht="12">
      <c r="J39" s="1"/>
      <c r="K39" s="1"/>
      <c r="P39" s="26">
        <v>10</v>
      </c>
      <c r="Q39" s="27">
        <f>Q18</f>
        <v>-43</v>
      </c>
      <c r="R39" s="27">
        <f>-R18</f>
        <v>-0.25</v>
      </c>
      <c r="S39" s="26"/>
    </row>
    <row r="40" spans="10:19" ht="12">
      <c r="J40" s="1"/>
      <c r="K40" s="1"/>
      <c r="P40" s="26">
        <v>9</v>
      </c>
      <c r="Q40" s="27">
        <f>Q17</f>
        <v>-43</v>
      </c>
      <c r="R40" s="27">
        <f>-R17</f>
        <v>-0.25</v>
      </c>
      <c r="S40" s="26"/>
    </row>
    <row r="41" spans="10:19" ht="12">
      <c r="J41" s="1"/>
      <c r="K41" s="1"/>
      <c r="P41" s="26">
        <v>8</v>
      </c>
      <c r="Q41" s="27">
        <f>Q16</f>
        <v>-43</v>
      </c>
      <c r="R41" s="27">
        <f>-R16</f>
        <v>-0.25</v>
      </c>
      <c r="S41" s="26"/>
    </row>
    <row r="42" spans="10:19" ht="12">
      <c r="J42" s="1"/>
      <c r="K42" s="1"/>
      <c r="P42" s="26">
        <v>7</v>
      </c>
      <c r="Q42" s="27">
        <f>Q15</f>
        <v>-43</v>
      </c>
      <c r="R42" s="27">
        <f>-R15</f>
        <v>-0.25</v>
      </c>
      <c r="S42" s="26"/>
    </row>
    <row r="43" spans="10:19" ht="12">
      <c r="J43" s="1"/>
      <c r="K43" s="1"/>
      <c r="P43" s="26">
        <v>6</v>
      </c>
      <c r="Q43" s="27">
        <f>Q14</f>
        <v>-43</v>
      </c>
      <c r="R43" s="27">
        <f>-R14</f>
        <v>-0.25</v>
      </c>
      <c r="S43" s="26"/>
    </row>
    <row r="44" spans="10:19" ht="12">
      <c r="J44" s="1"/>
      <c r="K44" s="1"/>
      <c r="P44" s="26">
        <v>5</v>
      </c>
      <c r="Q44" s="27">
        <f>Q13</f>
        <v>-24</v>
      </c>
      <c r="R44" s="27">
        <f>-R13</f>
        <v>-0.3</v>
      </c>
      <c r="S44" s="26"/>
    </row>
    <row r="45" spans="10:19" ht="12">
      <c r="J45" s="1"/>
      <c r="K45" s="1"/>
      <c r="P45" s="26">
        <v>4</v>
      </c>
      <c r="Q45" s="27">
        <f>Q12</f>
        <v>0</v>
      </c>
      <c r="R45" s="27">
        <f>-R12</f>
        <v>-0.75</v>
      </c>
      <c r="S45" s="26"/>
    </row>
    <row r="46" spans="10:19" ht="12">
      <c r="J46" s="1"/>
      <c r="K46" s="1"/>
      <c r="P46" s="26">
        <v>3</v>
      </c>
      <c r="Q46" s="27">
        <f>Q11</f>
        <v>1</v>
      </c>
      <c r="R46" s="27">
        <f>-R11</f>
        <v>-0.8</v>
      </c>
      <c r="S46" s="26"/>
    </row>
    <row r="47" spans="10:19" ht="12">
      <c r="J47" s="1"/>
      <c r="K47" s="1"/>
      <c r="P47" s="26">
        <v>2</v>
      </c>
      <c r="Q47" s="27">
        <f>Q10</f>
        <v>9</v>
      </c>
      <c r="R47" s="27">
        <f>-R10</f>
        <v>-0.75</v>
      </c>
      <c r="S47" s="26"/>
    </row>
    <row r="48" spans="10:19" ht="12">
      <c r="J48" s="1"/>
      <c r="K48" s="1"/>
      <c r="P48" s="26">
        <v>1</v>
      </c>
      <c r="Q48" s="27">
        <f>Q9</f>
        <v>12</v>
      </c>
      <c r="R48" s="27">
        <f>-R9</f>
        <v>-0.1</v>
      </c>
      <c r="S48" s="26"/>
    </row>
    <row r="49" spans="10:19" ht="12">
      <c r="J49" s="1"/>
      <c r="K49" s="1"/>
      <c r="P49" s="26">
        <v>1</v>
      </c>
      <c r="Q49" s="27">
        <f>Q9</f>
        <v>12</v>
      </c>
      <c r="R49" s="27">
        <f>R9</f>
        <v>0.1</v>
      </c>
      <c r="S49" s="26"/>
    </row>
    <row r="50" spans="10:11" ht="12">
      <c r="J50" s="1"/>
      <c r="K50" s="1"/>
    </row>
    <row r="51" spans="10:11" ht="12">
      <c r="J51" s="1"/>
      <c r="K51" s="1"/>
    </row>
    <row r="52" spans="10:11" ht="12">
      <c r="J52" s="1"/>
      <c r="K52" s="1"/>
    </row>
    <row r="53" spans="10:11" ht="12">
      <c r="J53" s="1"/>
      <c r="K53" s="1"/>
    </row>
    <row r="54" spans="10:11" ht="12">
      <c r="J54" s="1"/>
      <c r="K54" s="1"/>
    </row>
    <row r="55" spans="10:11" ht="12">
      <c r="J55" s="1"/>
      <c r="K55" s="1"/>
    </row>
    <row r="56" spans="10:11" ht="12">
      <c r="J56" s="1"/>
      <c r="K56" s="1"/>
    </row>
    <row r="57" spans="10:11" ht="12">
      <c r="J57" s="1"/>
      <c r="K57" s="1"/>
    </row>
    <row r="58" spans="10:11" ht="12">
      <c r="J58" s="1"/>
      <c r="K58" s="1"/>
    </row>
    <row r="59" spans="10:11" ht="12">
      <c r="J59" s="1"/>
      <c r="K59" s="1"/>
    </row>
    <row r="60" spans="10:11" ht="12">
      <c r="J60" s="1"/>
      <c r="K60" s="1"/>
    </row>
    <row r="61" spans="10:11" ht="12">
      <c r="J61" s="1"/>
      <c r="K61" s="1"/>
    </row>
    <row r="62" spans="10:11" ht="12">
      <c r="J62" s="1"/>
      <c r="K62" s="1"/>
    </row>
    <row r="63" spans="10:11" ht="12">
      <c r="J63" s="1"/>
      <c r="K63" s="1"/>
    </row>
    <row r="64" spans="10:11" ht="12">
      <c r="J64" s="1"/>
      <c r="K64" s="1"/>
    </row>
    <row r="65" spans="10:11" ht="12">
      <c r="J65" s="1"/>
      <c r="K65" s="1"/>
    </row>
    <row r="66" spans="10:11" ht="12">
      <c r="J66" s="1"/>
      <c r="K66" s="1"/>
    </row>
    <row r="67" spans="10:11" ht="12">
      <c r="J67" s="1"/>
      <c r="K67" s="1"/>
    </row>
    <row r="68" spans="10:11" ht="12">
      <c r="J68" s="1"/>
      <c r="K68" s="1"/>
    </row>
    <row r="69" spans="10:11" ht="12">
      <c r="J69" s="1"/>
      <c r="K69" s="1"/>
    </row>
    <row r="70" spans="10:11" ht="12">
      <c r="J70" s="1"/>
      <c r="K70" s="1"/>
    </row>
    <row r="71" spans="10:11" ht="12">
      <c r="J71" s="1"/>
      <c r="K71" s="1"/>
    </row>
    <row r="72" spans="10:11" ht="12">
      <c r="J72" s="1"/>
      <c r="K72" s="1"/>
    </row>
    <row r="73" spans="10:11" ht="12">
      <c r="J73" s="1"/>
      <c r="K73" s="1"/>
    </row>
    <row r="74" spans="10:11" ht="12">
      <c r="J74" s="1"/>
      <c r="K74" s="1"/>
    </row>
    <row r="75" spans="10:11" ht="12">
      <c r="J75" s="1"/>
      <c r="K75" s="1"/>
    </row>
    <row r="76" spans="10:11" ht="12">
      <c r="J76" s="1"/>
      <c r="K76" s="1"/>
    </row>
    <row r="77" spans="10:11" ht="12">
      <c r="J77" s="1"/>
      <c r="K77" s="1"/>
    </row>
    <row r="78" spans="10:11" ht="12">
      <c r="J78" s="1"/>
      <c r="K78" s="1"/>
    </row>
    <row r="79" spans="10:11" ht="12">
      <c r="J79" s="1"/>
      <c r="K79" s="1"/>
    </row>
    <row r="80" spans="10:11" ht="12">
      <c r="J80" s="1"/>
      <c r="K80" s="1"/>
    </row>
    <row r="81" spans="10:11" ht="12">
      <c r="J81" s="1"/>
      <c r="K81" s="1"/>
    </row>
    <row r="82" spans="10:11" ht="12">
      <c r="J82" s="1"/>
      <c r="K82" s="1"/>
    </row>
  </sheetData>
  <sheetProtection password="AE35" sheet="1" objects="1" scenarios="1" formatCells="0"/>
  <mergeCells count="1">
    <mergeCell ref="A31:B32"/>
  </mergeCells>
  <printOptions/>
  <pageMargins left="0.75" right="0.75" top="1" bottom="1" header="0.5" footer="0.5"/>
  <pageSetup horizontalDpi="600" verticalDpi="600" orientation="portrait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G27"/>
  <sheetViews>
    <sheetView showGridLines="0" zoomScale="150" zoomScaleNormal="150" workbookViewId="0" topLeftCell="A1">
      <selection activeCell="B12" sqref="B12"/>
    </sheetView>
  </sheetViews>
  <sheetFormatPr defaultColWidth="9.140625" defaultRowHeight="12.75"/>
  <cols>
    <col min="1" max="1" width="17.8515625" style="3" customWidth="1"/>
    <col min="2" max="2" width="9.140625" style="3" customWidth="1"/>
    <col min="3" max="3" width="13.28125" style="3" customWidth="1"/>
    <col min="4" max="16384" width="9.140625" style="3" customWidth="1"/>
  </cols>
  <sheetData>
    <row r="1" spans="1:7" ht="12.75">
      <c r="A1" s="37" t="s">
        <v>90</v>
      </c>
      <c r="C1" s="38"/>
      <c r="E1" s="39"/>
      <c r="G1" s="38"/>
    </row>
    <row r="2" spans="1:7" ht="12.75">
      <c r="A2" s="38" t="s">
        <v>91</v>
      </c>
      <c r="C2" s="38"/>
      <c r="D2" s="38"/>
      <c r="E2" s="38"/>
      <c r="G2" s="38"/>
    </row>
    <row r="3" spans="1:7" ht="12.75">
      <c r="A3" s="38"/>
      <c r="C3" s="38"/>
      <c r="D3" s="38"/>
      <c r="E3" s="38"/>
      <c r="G3" s="38"/>
    </row>
    <row r="4" spans="1:7" ht="12.75">
      <c r="A4" s="39" t="s">
        <v>92</v>
      </c>
      <c r="C4" s="38"/>
      <c r="D4" s="38"/>
      <c r="E4" s="38"/>
      <c r="F4" s="38"/>
      <c r="G4" s="38"/>
    </row>
    <row r="5" spans="1:7" ht="12.75">
      <c r="A5" s="38" t="s">
        <v>93</v>
      </c>
      <c r="C5" s="38"/>
      <c r="D5" s="38"/>
      <c r="E5" s="38"/>
      <c r="F5" s="38"/>
      <c r="G5" s="38"/>
    </row>
    <row r="6" ht="12.75">
      <c r="A6" s="38" t="s">
        <v>206</v>
      </c>
    </row>
    <row r="7" ht="12.75">
      <c r="A7" s="38" t="s">
        <v>94</v>
      </c>
    </row>
    <row r="8" ht="12.75"/>
    <row r="9" spans="3:7" ht="12.75">
      <c r="C9" s="40"/>
      <c r="D9" s="113" t="s">
        <v>95</v>
      </c>
      <c r="E9" s="113"/>
      <c r="F9" s="113"/>
      <c r="G9" s="114"/>
    </row>
    <row r="10" spans="1:7" ht="12.75">
      <c r="A10" s="83" t="s">
        <v>96</v>
      </c>
      <c r="B10" s="84" t="s">
        <v>97</v>
      </c>
      <c r="C10" s="85" t="s">
        <v>98</v>
      </c>
      <c r="D10" s="86" t="s">
        <v>99</v>
      </c>
      <c r="E10" s="86" t="s">
        <v>100</v>
      </c>
      <c r="F10" s="86" t="s">
        <v>101</v>
      </c>
      <c r="G10" s="85" t="s">
        <v>102</v>
      </c>
    </row>
    <row r="11" spans="1:7" ht="15" customHeight="1">
      <c r="A11" s="11" t="s">
        <v>0</v>
      </c>
      <c r="B11" s="87">
        <v>34.82</v>
      </c>
      <c r="C11" s="16" t="b">
        <v>1</v>
      </c>
      <c r="D11" s="15"/>
      <c r="E11" s="15"/>
      <c r="F11" s="42">
        <f>IF(C11=TRUE,wing1_cx,D11)</f>
        <v>-4.3746828456249816</v>
      </c>
      <c r="G11" s="42">
        <f>IF(C11=TRUE,0,E11)</f>
        <v>0</v>
      </c>
    </row>
    <row r="12" spans="1:7" ht="15" customHeight="1">
      <c r="A12" s="11" t="s">
        <v>18</v>
      </c>
      <c r="B12" s="87">
        <v>0</v>
      </c>
      <c r="C12" s="16" t="b">
        <v>1</v>
      </c>
      <c r="D12" s="15"/>
      <c r="E12" s="15"/>
      <c r="F12" s="42">
        <f>IF(C12=TRUE,wing2_cx,D12)</f>
        <v>-5.502254919520762</v>
      </c>
      <c r="G12" s="42">
        <f>IF(C12=TRUE,0,E12)</f>
        <v>0</v>
      </c>
    </row>
    <row r="13" spans="1:7" ht="15" customHeight="1">
      <c r="A13" s="11" t="s">
        <v>19</v>
      </c>
      <c r="B13" s="87">
        <v>0</v>
      </c>
      <c r="C13" s="16" t="b">
        <v>1</v>
      </c>
      <c r="D13" s="15"/>
      <c r="E13" s="15"/>
      <c r="F13" s="42">
        <f>IF(C13=TRUE,wing3_cx,D13)</f>
        <v>-1.5043331728454499</v>
      </c>
      <c r="G13" s="42">
        <f>IF(C13=TRUE,0,E13)</f>
        <v>0</v>
      </c>
    </row>
    <row r="14" spans="1:7" ht="15" customHeight="1">
      <c r="A14" s="11" t="s">
        <v>54</v>
      </c>
      <c r="B14" s="101">
        <v>7.8</v>
      </c>
      <c r="C14" s="16" t="b">
        <v>1</v>
      </c>
      <c r="D14" s="15"/>
      <c r="E14" s="15"/>
      <c r="F14" s="42">
        <f>IF(C14=TRUE,fuse_cx,D14)</f>
        <v>-3.5367512739159697</v>
      </c>
      <c r="G14" s="42">
        <f>IF(C14=TRUE,fuse_cy,E14)</f>
        <v>0</v>
      </c>
    </row>
    <row r="15" spans="1:7" ht="15" customHeight="1">
      <c r="A15" s="11" t="s">
        <v>34</v>
      </c>
      <c r="B15" s="87">
        <v>1</v>
      </c>
      <c r="C15" s="16" t="b">
        <v>1</v>
      </c>
      <c r="D15" s="15"/>
      <c r="E15" s="15"/>
      <c r="F15" s="42">
        <f>IF(C15=TRUE,hstab_cx,D15)</f>
        <v>-39.47510822510823</v>
      </c>
      <c r="G15" s="42">
        <f>IF(C15=TRUE,0,E15)</f>
        <v>0</v>
      </c>
    </row>
    <row r="16" spans="1:7" ht="15" customHeight="1">
      <c r="A16" s="11" t="s">
        <v>35</v>
      </c>
      <c r="B16" s="87">
        <v>0</v>
      </c>
      <c r="C16" s="16" t="b">
        <v>1</v>
      </c>
      <c r="D16" s="15"/>
      <c r="E16" s="15"/>
      <c r="F16" s="42">
        <f>IF(C16=TRUE,canard_cx,D16)</f>
        <v>12.182291666666666</v>
      </c>
      <c r="G16" s="42">
        <f>IF(C16=TRUE,0,E16)</f>
        <v>0</v>
      </c>
    </row>
    <row r="17" spans="1:7" ht="15" customHeight="1">
      <c r="A17" s="11" t="s">
        <v>174</v>
      </c>
      <c r="B17" s="87">
        <v>0.7</v>
      </c>
      <c r="C17" s="16" t="b">
        <v>1</v>
      </c>
      <c r="D17" s="15"/>
      <c r="E17" s="15"/>
      <c r="F17" s="42">
        <f>IF(C17=TRUE,vstab_cx,D17)</f>
        <v>-44.125</v>
      </c>
      <c r="G17" s="42">
        <f>IF(C17=TRUE,0,E17)</f>
        <v>0</v>
      </c>
    </row>
    <row r="18" spans="1:7" ht="15" customHeight="1">
      <c r="A18"/>
      <c r="B18"/>
      <c r="C18"/>
      <c r="D18"/>
      <c r="E18"/>
      <c r="F18"/>
      <c r="G18"/>
    </row>
    <row r="19" spans="1:7" ht="12">
      <c r="A19" s="38" t="s">
        <v>209</v>
      </c>
      <c r="G19" s="40"/>
    </row>
    <row r="20" spans="1:7" ht="12">
      <c r="A20" s="38" t="s">
        <v>210</v>
      </c>
      <c r="E20" s="24"/>
      <c r="G20" s="40"/>
    </row>
    <row r="21" spans="1:7" ht="12">
      <c r="A21" s="38" t="s">
        <v>211</v>
      </c>
      <c r="E21" s="24"/>
      <c r="F21" s="24"/>
      <c r="G21" s="24"/>
    </row>
    <row r="22" spans="1:7" ht="12">
      <c r="A22" s="24" t="s">
        <v>212</v>
      </c>
      <c r="C22" s="24"/>
      <c r="D22" s="24"/>
      <c r="E22" s="24"/>
      <c r="F22" s="24"/>
      <c r="G22" s="24"/>
    </row>
    <row r="23" spans="1:7" ht="12">
      <c r="A23" s="38"/>
      <c r="B23" s="24"/>
      <c r="C23" s="24"/>
      <c r="E23" s="41"/>
      <c r="G23" s="24"/>
    </row>
    <row r="24" spans="1:7" ht="12">
      <c r="A24" s="88" t="s">
        <v>103</v>
      </c>
      <c r="B24" s="89"/>
      <c r="C24" s="90">
        <v>12</v>
      </c>
      <c r="D24" s="91">
        <f>IF(wing1_w+wing2_w+wing3_w+fuse_w+hstab_w+canard_w+vstab_w&lt;&gt;0,wing1_w+wing2_w+wing3_w+fuse_w+hstab_w+canard_w+vstab_w,10)</f>
        <v>44.32</v>
      </c>
      <c r="E24" s="41"/>
      <c r="F24" s="24"/>
      <c r="G24" s="24"/>
    </row>
    <row r="25" spans="1:7" ht="12">
      <c r="A25" s="115" t="s">
        <v>104</v>
      </c>
      <c r="B25" s="92" t="s">
        <v>105</v>
      </c>
      <c r="C25" s="93">
        <v>-4</v>
      </c>
      <c r="D25" s="94">
        <f>IF(empty_weight&gt;0,(wing1_x*wing1_w+wing2_x*wing2_w+wing3_x*wing3_w+fuse_x*fuse_w+hstab_x*hstab_w+canard_x*canard_w+vstab_x*vstab_w)/empty_weight,0)</f>
        <v>-5.647015452308543</v>
      </c>
      <c r="E25" s="24"/>
      <c r="F25" s="24"/>
      <c r="G25" s="24"/>
    </row>
    <row r="26" spans="1:7" ht="12">
      <c r="A26" s="116"/>
      <c r="B26" s="95" t="s">
        <v>106</v>
      </c>
      <c r="C26" s="96">
        <v>0</v>
      </c>
      <c r="D26" s="97">
        <f>IF(empty_weight&gt;0,(wing1_y*wing1_w+wing2_y*wing2_w+wing3_y*wing3_w+fuse_y*fuse_w+hstab_y*hstab_w+canard_y*canard_w+vstab_y*vstab_w)/empty_weight,0)</f>
        <v>0</v>
      </c>
      <c r="E26" s="24"/>
      <c r="F26" s="24"/>
      <c r="G26" s="24"/>
    </row>
    <row r="27" spans="6:7" ht="12">
      <c r="F27" s="24"/>
      <c r="G27" s="24"/>
    </row>
  </sheetData>
  <sheetProtection password="AE35" sheet="1" objects="1" scenarios="1" formatCells="0"/>
  <mergeCells count="2">
    <mergeCell ref="D9:G9"/>
    <mergeCell ref="A25:A26"/>
  </mergeCells>
  <printOptions/>
  <pageMargins left="0.75" right="0.75" top="1" bottom="1" header="0.5" footer="0.5"/>
  <pageSetup horizontalDpi="600" verticalDpi="600" orientation="portrait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K31"/>
  <sheetViews>
    <sheetView showGridLines="0" zoomScale="150" zoomScaleNormal="150" workbookViewId="0" topLeftCell="A1">
      <selection activeCell="D19" sqref="D19"/>
    </sheetView>
  </sheetViews>
  <sheetFormatPr defaultColWidth="9.140625" defaultRowHeight="12.75"/>
  <cols>
    <col min="1" max="1" width="9.140625" style="3" customWidth="1"/>
    <col min="2" max="2" width="20.7109375" style="3" customWidth="1"/>
    <col min="3" max="16384" width="9.140625" style="3" customWidth="1"/>
  </cols>
  <sheetData>
    <row r="1" spans="1:5" ht="12">
      <c r="A1" s="117" t="s">
        <v>107</v>
      </c>
      <c r="B1" s="117"/>
      <c r="C1" s="117"/>
      <c r="D1" s="117"/>
      <c r="E1" s="117"/>
    </row>
    <row r="2" ht="12">
      <c r="A2" s="7" t="s">
        <v>108</v>
      </c>
    </row>
    <row r="3" ht="12">
      <c r="A3" s="3" t="s">
        <v>109</v>
      </c>
    </row>
    <row r="4" ht="12">
      <c r="A4" s="3" t="s">
        <v>110</v>
      </c>
    </row>
    <row r="5" ht="12">
      <c r="A5" s="3" t="s">
        <v>111</v>
      </c>
    </row>
    <row r="6" ht="12">
      <c r="A6" s="3" t="s">
        <v>112</v>
      </c>
    </row>
    <row r="7" ht="12">
      <c r="A7" s="3" t="s">
        <v>113</v>
      </c>
    </row>
    <row r="8" spans="6:11" ht="12">
      <c r="F8" s="43"/>
      <c r="G8" s="43"/>
      <c r="H8" s="43"/>
      <c r="I8" s="43"/>
      <c r="J8" s="43"/>
      <c r="K8" s="43"/>
    </row>
    <row r="9" spans="1:11" ht="12">
      <c r="A9" s="11" t="s">
        <v>114</v>
      </c>
      <c r="B9" s="15" t="s">
        <v>115</v>
      </c>
      <c r="C9" s="15" t="s">
        <v>97</v>
      </c>
      <c r="D9" s="15" t="s">
        <v>25</v>
      </c>
      <c r="E9" s="15" t="s">
        <v>116</v>
      </c>
      <c r="F9" s="44"/>
      <c r="G9" s="44"/>
      <c r="H9" s="44"/>
      <c r="I9" s="43"/>
      <c r="J9" s="43"/>
      <c r="K9" s="43"/>
    </row>
    <row r="10" spans="1:11" ht="12">
      <c r="A10" s="15">
        <v>1</v>
      </c>
      <c r="B10" s="12" t="s">
        <v>117</v>
      </c>
      <c r="C10" s="12">
        <v>0</v>
      </c>
      <c r="D10" s="12">
        <v>5.75</v>
      </c>
      <c r="E10" s="12">
        <v>0</v>
      </c>
      <c r="F10" s="36">
        <f>IF(C10&gt;0,B10,"")</f>
      </c>
      <c r="G10" s="36">
        <f aca="true" t="shared" si="0" ref="G10:G29">IF(C10&gt;0,E10,0)</f>
        <v>0</v>
      </c>
      <c r="H10" s="36">
        <f aca="true" t="shared" si="1" ref="H10:H29">IF(C10&gt;0,D10,0)</f>
        <v>0</v>
      </c>
      <c r="I10" s="25"/>
      <c r="J10" s="43"/>
      <c r="K10" s="43"/>
    </row>
    <row r="11" spans="1:11" ht="12">
      <c r="A11" s="15">
        <v>2</v>
      </c>
      <c r="B11" s="12" t="s">
        <v>213</v>
      </c>
      <c r="C11" s="12">
        <v>0</v>
      </c>
      <c r="D11" s="12">
        <v>7</v>
      </c>
      <c r="E11" s="12">
        <v>0</v>
      </c>
      <c r="F11" s="36">
        <f aca="true" t="shared" si="2" ref="F11:F29">IF(C11&gt;0,B11,"")</f>
      </c>
      <c r="G11" s="36">
        <f t="shared" si="0"/>
        <v>0</v>
      </c>
      <c r="H11" s="36">
        <f t="shared" si="1"/>
        <v>0</v>
      </c>
      <c r="I11" s="25"/>
      <c r="J11" s="43"/>
      <c r="K11" s="43"/>
    </row>
    <row r="12" spans="1:11" ht="12">
      <c r="A12" s="15">
        <v>3</v>
      </c>
      <c r="B12" s="12" t="s">
        <v>118</v>
      </c>
      <c r="C12" s="12">
        <v>0</v>
      </c>
      <c r="D12" s="12">
        <v>3</v>
      </c>
      <c r="E12" s="12">
        <v>0</v>
      </c>
      <c r="F12" s="36">
        <f t="shared" si="2"/>
      </c>
      <c r="G12" s="36">
        <f t="shared" si="0"/>
        <v>0</v>
      </c>
      <c r="H12" s="36">
        <f t="shared" si="1"/>
        <v>0</v>
      </c>
      <c r="I12" s="25"/>
      <c r="J12" s="43"/>
      <c r="K12" s="43"/>
    </row>
    <row r="13" spans="1:11" ht="12">
      <c r="A13" s="15">
        <v>4</v>
      </c>
      <c r="B13" s="12" t="s">
        <v>119</v>
      </c>
      <c r="C13" s="12">
        <v>0.5</v>
      </c>
      <c r="D13" s="12">
        <v>1</v>
      </c>
      <c r="E13" s="12">
        <v>0</v>
      </c>
      <c r="F13" s="36" t="str">
        <f t="shared" si="2"/>
        <v>Receiver</v>
      </c>
      <c r="G13" s="36">
        <f t="shared" si="0"/>
        <v>0</v>
      </c>
      <c r="H13" s="36">
        <f t="shared" si="1"/>
        <v>1</v>
      </c>
      <c r="I13" s="25"/>
      <c r="J13" s="43"/>
      <c r="K13" s="43"/>
    </row>
    <row r="14" spans="1:11" ht="12">
      <c r="A14" s="15">
        <v>5</v>
      </c>
      <c r="B14" s="12" t="s">
        <v>240</v>
      </c>
      <c r="C14" s="12">
        <v>0.33</v>
      </c>
      <c r="D14" s="12">
        <v>3</v>
      </c>
      <c r="E14" s="12">
        <v>0.33</v>
      </c>
      <c r="F14" s="36" t="str">
        <f t="shared" si="2"/>
        <v>Rudder servo</v>
      </c>
      <c r="G14" s="36">
        <f t="shared" si="0"/>
        <v>0.33</v>
      </c>
      <c r="H14" s="36">
        <f t="shared" si="1"/>
        <v>3</v>
      </c>
      <c r="I14" s="25"/>
      <c r="J14" s="43"/>
      <c r="K14" s="43"/>
    </row>
    <row r="15" spans="1:11" ht="12">
      <c r="A15" s="15">
        <v>6</v>
      </c>
      <c r="B15" s="12" t="s">
        <v>241</v>
      </c>
      <c r="C15" s="12">
        <v>0.33</v>
      </c>
      <c r="D15" s="12">
        <v>4.5</v>
      </c>
      <c r="E15" s="12">
        <v>-0.33</v>
      </c>
      <c r="F15" s="36" t="str">
        <f t="shared" si="2"/>
        <v>Elevator servo</v>
      </c>
      <c r="G15" s="36">
        <f t="shared" si="0"/>
        <v>-0.33</v>
      </c>
      <c r="H15" s="36">
        <f t="shared" si="1"/>
        <v>4.5</v>
      </c>
      <c r="I15" s="25"/>
      <c r="J15" s="43"/>
      <c r="K15" s="43"/>
    </row>
    <row r="16" spans="1:11" ht="12">
      <c r="A16" s="15">
        <v>7</v>
      </c>
      <c r="B16" s="12" t="s">
        <v>242</v>
      </c>
      <c r="C16" s="12">
        <v>0.33</v>
      </c>
      <c r="D16" s="12">
        <v>-4.5</v>
      </c>
      <c r="E16" s="12">
        <v>-12</v>
      </c>
      <c r="F16" s="36" t="str">
        <f t="shared" si="2"/>
        <v>Flap servo</v>
      </c>
      <c r="G16" s="36">
        <f t="shared" si="0"/>
        <v>-12</v>
      </c>
      <c r="H16" s="36">
        <f t="shared" si="1"/>
        <v>-4.5</v>
      </c>
      <c r="I16" s="25"/>
      <c r="J16" s="43"/>
      <c r="K16" s="43"/>
    </row>
    <row r="17" spans="1:11" ht="12">
      <c r="A17" s="15">
        <v>8</v>
      </c>
      <c r="B17" s="12" t="s">
        <v>242</v>
      </c>
      <c r="C17" s="12">
        <v>0.33</v>
      </c>
      <c r="D17" s="12">
        <v>-4.5</v>
      </c>
      <c r="E17" s="12">
        <v>12</v>
      </c>
      <c r="F17" s="36" t="str">
        <f t="shared" si="2"/>
        <v>Flap servo</v>
      </c>
      <c r="G17" s="36">
        <f t="shared" si="0"/>
        <v>12</v>
      </c>
      <c r="H17" s="36">
        <f t="shared" si="1"/>
        <v>-4.5</v>
      </c>
      <c r="I17" s="25"/>
      <c r="J17" s="43"/>
      <c r="K17" s="43"/>
    </row>
    <row r="18" spans="1:11" ht="12">
      <c r="A18" s="15">
        <v>9</v>
      </c>
      <c r="B18" s="12" t="s">
        <v>120</v>
      </c>
      <c r="C18" s="12">
        <v>6</v>
      </c>
      <c r="D18" s="12">
        <v>7</v>
      </c>
      <c r="E18" s="12">
        <v>0</v>
      </c>
      <c r="F18" s="36" t="str">
        <f t="shared" si="2"/>
        <v>Battery</v>
      </c>
      <c r="G18" s="36">
        <f t="shared" si="0"/>
        <v>0</v>
      </c>
      <c r="H18" s="36">
        <f t="shared" si="1"/>
        <v>7</v>
      </c>
      <c r="I18" s="25"/>
      <c r="J18" s="43"/>
      <c r="K18" s="43"/>
    </row>
    <row r="19" spans="1:11" ht="12">
      <c r="A19" s="15">
        <v>10</v>
      </c>
      <c r="B19" s="12" t="s">
        <v>121</v>
      </c>
      <c r="C19" s="12">
        <v>0</v>
      </c>
      <c r="D19" s="12"/>
      <c r="E19" s="12">
        <v>0</v>
      </c>
      <c r="F19" s="36">
        <f t="shared" si="2"/>
      </c>
      <c r="G19" s="36">
        <f t="shared" si="0"/>
        <v>0</v>
      </c>
      <c r="H19" s="36">
        <f t="shared" si="1"/>
        <v>0</v>
      </c>
      <c r="I19" s="25"/>
      <c r="J19" s="43"/>
      <c r="K19" s="43"/>
    </row>
    <row r="20" spans="1:11" ht="12">
      <c r="A20" s="15">
        <v>11</v>
      </c>
      <c r="B20" s="12" t="s">
        <v>122</v>
      </c>
      <c r="C20" s="12">
        <v>1</v>
      </c>
      <c r="D20" s="12">
        <v>-4</v>
      </c>
      <c r="E20" s="12">
        <v>0</v>
      </c>
      <c r="F20" s="36" t="str">
        <f t="shared" si="2"/>
        <v>Servo Extensions</v>
      </c>
      <c r="G20" s="36">
        <f t="shared" si="0"/>
        <v>0</v>
      </c>
      <c r="H20" s="36">
        <f t="shared" si="1"/>
        <v>-4</v>
      </c>
      <c r="I20" s="25"/>
      <c r="J20" s="43"/>
      <c r="K20" s="43"/>
    </row>
    <row r="21" spans="1:11" ht="12">
      <c r="A21" s="15">
        <v>12</v>
      </c>
      <c r="B21" s="12" t="s">
        <v>246</v>
      </c>
      <c r="C21" s="12">
        <v>1.5</v>
      </c>
      <c r="D21" s="12">
        <v>10</v>
      </c>
      <c r="E21" s="12">
        <v>0</v>
      </c>
      <c r="F21" s="36" t="str">
        <f t="shared" si="2"/>
        <v>Nose Weight</v>
      </c>
      <c r="G21" s="36">
        <f t="shared" si="0"/>
        <v>0</v>
      </c>
      <c r="H21" s="36">
        <f t="shared" si="1"/>
        <v>10</v>
      </c>
      <c r="I21" s="25"/>
      <c r="J21" s="43"/>
      <c r="K21" s="43"/>
    </row>
    <row r="22" spans="1:11" ht="12">
      <c r="A22" s="15">
        <v>13</v>
      </c>
      <c r="B22" s="12" t="s">
        <v>245</v>
      </c>
      <c r="C22" s="12">
        <v>0</v>
      </c>
      <c r="D22" s="12">
        <v>0</v>
      </c>
      <c r="E22" s="12">
        <v>0</v>
      </c>
      <c r="F22" s="36">
        <f t="shared" si="2"/>
      </c>
      <c r="G22" s="36">
        <f t="shared" si="0"/>
        <v>0</v>
      </c>
      <c r="H22" s="36">
        <f t="shared" si="1"/>
        <v>0</v>
      </c>
      <c r="I22" s="25"/>
      <c r="J22" s="43"/>
      <c r="K22" s="43"/>
    </row>
    <row r="23" spans="1:11" ht="12">
      <c r="A23" s="15">
        <v>14</v>
      </c>
      <c r="B23" s="12" t="s">
        <v>214</v>
      </c>
      <c r="C23" s="12">
        <v>0</v>
      </c>
      <c r="D23" s="12">
        <v>0</v>
      </c>
      <c r="E23" s="12">
        <v>0</v>
      </c>
      <c r="F23" s="36">
        <f t="shared" si="2"/>
      </c>
      <c r="G23" s="36">
        <f t="shared" si="0"/>
        <v>0</v>
      </c>
      <c r="H23" s="36">
        <f t="shared" si="1"/>
        <v>0</v>
      </c>
      <c r="I23" s="25"/>
      <c r="J23" s="43"/>
      <c r="K23" s="43"/>
    </row>
    <row r="24" spans="1:11" ht="12">
      <c r="A24" s="15">
        <v>15</v>
      </c>
      <c r="B24" s="12" t="s">
        <v>215</v>
      </c>
      <c r="C24" s="12">
        <v>0</v>
      </c>
      <c r="D24" s="12">
        <v>0</v>
      </c>
      <c r="E24" s="12">
        <v>0</v>
      </c>
      <c r="F24" s="36">
        <f t="shared" si="2"/>
      </c>
      <c r="G24" s="36">
        <f t="shared" si="0"/>
        <v>0</v>
      </c>
      <c r="H24" s="36">
        <f t="shared" si="1"/>
        <v>0</v>
      </c>
      <c r="I24" s="25"/>
      <c r="J24" s="43"/>
      <c r="K24" s="43"/>
    </row>
    <row r="25" spans="1:11" ht="12">
      <c r="A25" s="15">
        <v>16</v>
      </c>
      <c r="B25" s="12" t="s">
        <v>123</v>
      </c>
      <c r="C25" s="12">
        <v>0</v>
      </c>
      <c r="D25" s="12">
        <v>0</v>
      </c>
      <c r="E25" s="12">
        <v>0</v>
      </c>
      <c r="F25" s="36">
        <f t="shared" si="2"/>
      </c>
      <c r="G25" s="36">
        <f t="shared" si="0"/>
        <v>0</v>
      </c>
      <c r="H25" s="36">
        <f t="shared" si="1"/>
        <v>0</v>
      </c>
      <c r="I25" s="25"/>
      <c r="J25" s="43"/>
      <c r="K25" s="43"/>
    </row>
    <row r="26" spans="1:11" ht="12">
      <c r="A26" s="15">
        <v>17</v>
      </c>
      <c r="B26" s="12" t="s">
        <v>124</v>
      </c>
      <c r="C26" s="12">
        <v>0</v>
      </c>
      <c r="D26" s="12">
        <v>0</v>
      </c>
      <c r="E26" s="12">
        <v>0</v>
      </c>
      <c r="F26" s="36">
        <f t="shared" si="2"/>
      </c>
      <c r="G26" s="36">
        <f t="shared" si="0"/>
        <v>0</v>
      </c>
      <c r="H26" s="36">
        <f t="shared" si="1"/>
        <v>0</v>
      </c>
      <c r="I26" s="25"/>
      <c r="J26" s="43"/>
      <c r="K26" s="43"/>
    </row>
    <row r="27" spans="1:11" ht="12">
      <c r="A27" s="15">
        <v>18</v>
      </c>
      <c r="B27" s="12" t="s">
        <v>243</v>
      </c>
      <c r="C27" s="12">
        <v>0.33</v>
      </c>
      <c r="D27" s="12">
        <v>-4.75</v>
      </c>
      <c r="E27" s="12">
        <v>36</v>
      </c>
      <c r="F27" s="36" t="str">
        <f t="shared" si="2"/>
        <v>Aileron servo L</v>
      </c>
      <c r="G27" s="36">
        <f t="shared" si="0"/>
        <v>36</v>
      </c>
      <c r="H27" s="36">
        <f t="shared" si="1"/>
        <v>-4.75</v>
      </c>
      <c r="I27" s="25"/>
      <c r="J27" s="43"/>
      <c r="K27" s="43"/>
    </row>
    <row r="28" spans="1:11" ht="12">
      <c r="A28" s="15">
        <v>19</v>
      </c>
      <c r="B28" s="12" t="s">
        <v>244</v>
      </c>
      <c r="C28" s="12">
        <v>0.33</v>
      </c>
      <c r="D28" s="12">
        <v>-4.75</v>
      </c>
      <c r="E28" s="12">
        <v>-36</v>
      </c>
      <c r="F28" s="36" t="str">
        <f t="shared" si="2"/>
        <v>Aileron servo R</v>
      </c>
      <c r="G28" s="36">
        <f t="shared" si="0"/>
        <v>-36</v>
      </c>
      <c r="H28" s="36">
        <f t="shared" si="1"/>
        <v>-4.75</v>
      </c>
      <c r="I28" s="25"/>
      <c r="J28" s="43"/>
      <c r="K28" s="43"/>
    </row>
    <row r="29" spans="1:11" ht="12">
      <c r="A29" s="15">
        <v>20</v>
      </c>
      <c r="B29" s="12"/>
      <c r="C29" s="12">
        <v>0</v>
      </c>
      <c r="D29" s="12">
        <v>0</v>
      </c>
      <c r="E29" s="12">
        <v>0</v>
      </c>
      <c r="F29" s="36">
        <f t="shared" si="2"/>
      </c>
      <c r="G29" s="36">
        <f t="shared" si="0"/>
        <v>0</v>
      </c>
      <c r="H29" s="36">
        <f t="shared" si="1"/>
        <v>0</v>
      </c>
      <c r="I29" s="25"/>
      <c r="J29" s="43"/>
      <c r="K29" s="43"/>
    </row>
    <row r="30" spans="1:11" ht="12">
      <c r="A30" s="79" t="s">
        <v>125</v>
      </c>
      <c r="B30" s="11"/>
      <c r="C30" s="62">
        <f>SUM(C10:C29)</f>
        <v>10.98</v>
      </c>
      <c r="D30" s="62">
        <f>IF(point_weight&gt;0,SUM(C10*D10,C11*D11,C12*D12,C13*D13,C14*D14,C15*D15,C16*D16,C17*D17,C18*D18,C19*D19,C20*D20,C21*D21,C22*D22,C23*D23,C24*D24,C25*D25,C26*D26,C27*D27,C28*D28,C29*D29)/point_weight,0)</f>
        <v>4.541894353369763</v>
      </c>
      <c r="E30" s="62">
        <f>IF(point_weight&gt;0,SUM(C10*E10,C11*E11,C12*E12,C13*E13,C14*E14,C15*E15,C16*E16,C17*E17,C18*E18,C19*E19,C20*E20,C21*E21,C22*E22,C23*E23,C24*E24,C25*E25,C26*E26,C27*E27,C28*E28,C29*E29)/point_weight,0)</f>
        <v>0</v>
      </c>
      <c r="F30" s="43"/>
      <c r="G30" s="43"/>
      <c r="H30" s="43"/>
      <c r="I30" s="43"/>
      <c r="J30" s="43"/>
      <c r="K30" s="43"/>
    </row>
    <row r="31" spans="6:11" ht="12">
      <c r="F31" s="43"/>
      <c r="G31" s="43"/>
      <c r="H31" s="43"/>
      <c r="I31" s="43"/>
      <c r="J31" s="43"/>
      <c r="K31" s="43"/>
    </row>
  </sheetData>
  <sheetProtection password="AE35" sheet="1" objects="1" scenarios="1"/>
  <mergeCells count="1">
    <mergeCell ref="A1:E1"/>
  </mergeCell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Q41"/>
  <sheetViews>
    <sheetView showGridLines="0" tabSelected="1" zoomScale="150" zoomScaleNormal="150" workbookViewId="0" topLeftCell="A1">
      <selection activeCell="P37" sqref="P37"/>
    </sheetView>
  </sheetViews>
  <sheetFormatPr defaultColWidth="9.140625" defaultRowHeight="12.75"/>
  <cols>
    <col min="1" max="2" width="9.140625" style="3" customWidth="1"/>
    <col min="3" max="3" width="9.421875" style="3" customWidth="1"/>
    <col min="4" max="16384" width="9.140625" style="3" customWidth="1"/>
  </cols>
  <sheetData>
    <row r="1" ht="15">
      <c r="A1" s="2" t="s">
        <v>77</v>
      </c>
    </row>
    <row r="2" spans="9:12" ht="12.75">
      <c r="I2" s="25"/>
      <c r="J2" s="25"/>
      <c r="K2" s="25"/>
      <c r="L2" s="25"/>
    </row>
    <row r="3" spans="1:14" ht="12.75">
      <c r="A3" s="37" t="s">
        <v>154</v>
      </c>
      <c r="E3" s="37" t="s">
        <v>180</v>
      </c>
      <c r="F3" s="45"/>
      <c r="J3" s="37" t="s">
        <v>201</v>
      </c>
      <c r="L3" s="25"/>
      <c r="N3" s="37" t="s">
        <v>237</v>
      </c>
    </row>
    <row r="4" spans="1:16" ht="12.75" customHeight="1">
      <c r="A4" s="46" t="s">
        <v>78</v>
      </c>
      <c r="B4" s="33"/>
      <c r="C4" s="62">
        <f>(empty_x*empty_weight+point_x*point_weight)/(empty_weight+point_weight)</f>
        <v>-3.623973324526485</v>
      </c>
      <c r="E4" s="142" t="s">
        <v>194</v>
      </c>
      <c r="F4" s="143"/>
      <c r="G4" s="47" t="s">
        <v>163</v>
      </c>
      <c r="H4" s="48" t="s">
        <v>181</v>
      </c>
      <c r="J4" s="133" t="s">
        <v>202</v>
      </c>
      <c r="K4" s="134"/>
      <c r="L4" s="135"/>
      <c r="M4" s="49"/>
      <c r="N4" s="124" t="s">
        <v>238</v>
      </c>
      <c r="O4" s="125"/>
      <c r="P4" s="126"/>
    </row>
    <row r="5" spans="1:16" ht="12.75">
      <c r="A5" s="30" t="s">
        <v>79</v>
      </c>
      <c r="B5" s="23"/>
      <c r="C5" s="62">
        <f>(empty_y*empty_weight+point_y*point_weight)/(empty_weight+point_weight)</f>
        <v>0</v>
      </c>
      <c r="E5" s="144"/>
      <c r="F5" s="145"/>
      <c r="G5" s="50"/>
      <c r="H5" s="50"/>
      <c r="J5" s="136"/>
      <c r="K5" s="137"/>
      <c r="L5" s="138"/>
      <c r="M5" s="49"/>
      <c r="N5" s="127"/>
      <c r="O5" s="128"/>
      <c r="P5" s="129"/>
    </row>
    <row r="6" spans="1:16" ht="12.75">
      <c r="A6" s="51" t="s">
        <v>139</v>
      </c>
      <c r="B6" s="52"/>
      <c r="C6" s="63">
        <f>(CLaw1*_xac1+CLaw2*_xac2+CLaw3*_xac3+CLah*(1-dedah)*nh*hstab_ac*hstab_area/wing_area+CLav*(1-dedav)*nv*vstab_ac*vtail_harea/wing_area+CLac*canard_ac*canard_area/wing_area+Cmaf*ref_MAC)/(CLaw1+CLaw2+CLaw3+CLah*(1-dedah)*nh*hstab_area/wing_area+CLav*(1-dedav)*nv*vtail_harea/wing_area+CLac*canard_area/wing_area)</f>
        <v>-4.378760428379474</v>
      </c>
      <c r="E6" s="146"/>
      <c r="F6" s="147"/>
      <c r="G6" s="28"/>
      <c r="H6" s="28"/>
      <c r="J6" s="139"/>
      <c r="K6" s="140"/>
      <c r="L6" s="141"/>
      <c r="M6" s="38"/>
      <c r="N6" s="130"/>
      <c r="O6" s="131"/>
      <c r="P6" s="132"/>
    </row>
    <row r="7" spans="1:16" ht="12.75">
      <c r="A7" s="30" t="s">
        <v>179</v>
      </c>
      <c r="B7" s="23"/>
      <c r="C7" s="64">
        <f>(cgx-C6)/ref_MAC</f>
        <v>0.10092272742686476</v>
      </c>
      <c r="E7" s="148" t="s">
        <v>183</v>
      </c>
      <c r="F7" s="149"/>
      <c r="G7" s="149"/>
      <c r="H7" s="150"/>
      <c r="J7" s="46"/>
      <c r="K7" s="69"/>
      <c r="L7" s="70"/>
      <c r="M7" s="38"/>
      <c r="N7" s="51"/>
      <c r="O7" s="6"/>
      <c r="P7" s="52"/>
    </row>
    <row r="8" spans="1:16" ht="12.75">
      <c r="A8" s="30" t="s">
        <v>247</v>
      </c>
      <c r="B8" s="23"/>
      <c r="C8" s="62">
        <f>empty_weight+point_weight</f>
        <v>55.3</v>
      </c>
      <c r="E8" s="120">
        <v>9.023151778937905</v>
      </c>
      <c r="F8" s="121"/>
      <c r="G8" s="118" t="s">
        <v>182</v>
      </c>
      <c r="H8" s="53"/>
      <c r="J8" s="51"/>
      <c r="K8" s="6"/>
      <c r="L8" s="71"/>
      <c r="M8" s="49"/>
      <c r="N8" s="51"/>
      <c r="O8" s="6"/>
      <c r="P8" s="52"/>
    </row>
    <row r="9" spans="1:16" ht="14.25">
      <c r="A9" s="54" t="s">
        <v>140</v>
      </c>
      <c r="B9" s="55"/>
      <c r="C9" s="62">
        <f>Cmaw1+Cmaw2+Cmaw3+Cmah+Cmav+Cmaf+Cmac</f>
        <v>-0.5989291673575402</v>
      </c>
      <c r="E9" s="122"/>
      <c r="F9" s="123"/>
      <c r="G9" s="119"/>
      <c r="H9" s="56"/>
      <c r="J9" s="54"/>
      <c r="K9" s="72"/>
      <c r="L9" s="73"/>
      <c r="M9" s="49"/>
      <c r="N9" s="54"/>
      <c r="O9" s="45"/>
      <c r="P9" s="55"/>
    </row>
    <row r="10" spans="9:12" ht="12.75">
      <c r="I10" s="25"/>
      <c r="J10" s="25"/>
      <c r="K10" s="25"/>
      <c r="L10" s="25"/>
    </row>
    <row r="11" ht="12">
      <c r="A11" s="37" t="s">
        <v>80</v>
      </c>
    </row>
    <row r="12" spans="1:13" ht="12">
      <c r="A12" s="37" t="s">
        <v>128</v>
      </c>
      <c r="E12" s="37" t="s">
        <v>0</v>
      </c>
      <c r="I12" s="37" t="s">
        <v>18</v>
      </c>
      <c r="M12" s="37" t="s">
        <v>19</v>
      </c>
    </row>
    <row r="13" spans="1:15" ht="12">
      <c r="A13" s="30" t="s">
        <v>127</v>
      </c>
      <c r="B13" s="23"/>
      <c r="C13" s="65" t="s">
        <v>62</v>
      </c>
      <c r="E13" s="46" t="s">
        <v>129</v>
      </c>
      <c r="F13" s="33"/>
      <c r="G13" s="62">
        <f>wing1_area</f>
        <v>882.5297628914905</v>
      </c>
      <c r="I13" s="46" t="s">
        <v>129</v>
      </c>
      <c r="J13" s="33"/>
      <c r="K13" s="62">
        <f>IF(OR('Getting Started'!G4=2,'Getting Started'!G4=3),wing2_area,0)</f>
        <v>0</v>
      </c>
      <c r="L13" s="6"/>
      <c r="M13" s="46" t="s">
        <v>129</v>
      </c>
      <c r="N13" s="33"/>
      <c r="O13" s="62">
        <f>IF('Getting Started'!G4=3,wing3_area,0)</f>
        <v>0</v>
      </c>
    </row>
    <row r="14" spans="1:15" ht="12">
      <c r="A14" s="30" t="s">
        <v>129</v>
      </c>
      <c r="B14" s="23"/>
      <c r="C14" s="62">
        <f>wing1_area</f>
        <v>882.5297628914905</v>
      </c>
      <c r="E14" s="30" t="s">
        <v>131</v>
      </c>
      <c r="F14" s="23"/>
      <c r="G14" s="62">
        <f>wing1_span</f>
        <v>126.12887026758686</v>
      </c>
      <c r="I14" s="30" t="s">
        <v>131</v>
      </c>
      <c r="J14" s="23"/>
      <c r="K14" s="62">
        <f>IF(OR('Getting Started'!G4=2,'Getting Started'!G4=3),wing2_span,0)</f>
        <v>0</v>
      </c>
      <c r="M14" s="30" t="s">
        <v>131</v>
      </c>
      <c r="N14" s="23"/>
      <c r="O14" s="62">
        <f>IF('Getting Started'!G4=3,wing3_span,0)</f>
        <v>0</v>
      </c>
    </row>
    <row r="15" spans="1:15" ht="12">
      <c r="A15" s="51" t="s">
        <v>130</v>
      </c>
      <c r="B15" s="52"/>
      <c r="C15" s="62">
        <f>wing1_span</f>
        <v>126.12887026758686</v>
      </c>
      <c r="E15" s="51" t="s">
        <v>132</v>
      </c>
      <c r="F15" s="52"/>
      <c r="G15" s="62">
        <f>wing1_mac</f>
        <v>7.47886153195728</v>
      </c>
      <c r="I15" s="51" t="s">
        <v>132</v>
      </c>
      <c r="J15" s="52"/>
      <c r="K15" s="62">
        <f>IF(OR('Getting Started'!G4=2,'Getting Started'!G4=3),wing2_mac,0)</f>
        <v>0</v>
      </c>
      <c r="M15" s="51" t="s">
        <v>132</v>
      </c>
      <c r="N15" s="52"/>
      <c r="O15" s="62">
        <f>IF('Getting Started'!G4=3,wing3_mac,0)</f>
        <v>0</v>
      </c>
    </row>
    <row r="16" spans="1:15" ht="12">
      <c r="A16" s="30" t="s">
        <v>171</v>
      </c>
      <c r="B16" s="23"/>
      <c r="C16" s="62">
        <f>wing1_mac</f>
        <v>7.47886153195728</v>
      </c>
      <c r="E16" s="30" t="s">
        <v>133</v>
      </c>
      <c r="F16" s="23"/>
      <c r="G16" s="62">
        <f>wing1_acx</f>
        <v>-2.5049674626356615</v>
      </c>
      <c r="I16" s="30" t="s">
        <v>133</v>
      </c>
      <c r="J16" s="23"/>
      <c r="K16" s="62">
        <f>IF(OR('Getting Started'!G4=2,'Getting Started'!G4=3),wing2_acx,0)</f>
        <v>0</v>
      </c>
      <c r="M16" s="30" t="s">
        <v>133</v>
      </c>
      <c r="N16" s="23"/>
      <c r="O16" s="62">
        <f>IF('Getting Started'!G4=3,wing3_acx,0)</f>
        <v>0</v>
      </c>
    </row>
    <row r="17" spans="1:15" ht="12">
      <c r="A17" s="30" t="s">
        <v>133</v>
      </c>
      <c r="B17" s="23"/>
      <c r="C17" s="62">
        <f>wing1_acx</f>
        <v>-2.5049674626356615</v>
      </c>
      <c r="E17" s="30" t="s">
        <v>135</v>
      </c>
      <c r="F17" s="23"/>
      <c r="G17" s="62">
        <f>wing1_ar</f>
        <v>18.02601179461157</v>
      </c>
      <c r="I17" s="30" t="s">
        <v>135</v>
      </c>
      <c r="J17" s="23"/>
      <c r="K17" s="62">
        <f>IF(OR('Getting Started'!G4=2,'Getting Started'!G4=3),wing2_ar,0)</f>
        <v>0</v>
      </c>
      <c r="M17" s="30" t="s">
        <v>135</v>
      </c>
      <c r="N17" s="23"/>
      <c r="O17" s="62">
        <f>IF('Getting Started'!G4=3,wing3_ar,0)</f>
        <v>0</v>
      </c>
    </row>
    <row r="18" spans="1:15" ht="12">
      <c r="A18" s="51" t="s">
        <v>134</v>
      </c>
      <c r="B18" s="52"/>
      <c r="C18" s="62">
        <v>0</v>
      </c>
      <c r="E18" s="54" t="s">
        <v>136</v>
      </c>
      <c r="F18" s="55"/>
      <c r="G18" s="62">
        <f>wing1_liftslope</f>
        <v>5.624564312599741</v>
      </c>
      <c r="I18" s="54" t="s">
        <v>136</v>
      </c>
      <c r="J18" s="55"/>
      <c r="K18" s="62">
        <f>IF(OR('Getting Started'!G4=2,'Getting Started'!G4=3),wing2_liftslope,0)</f>
        <v>0</v>
      </c>
      <c r="M18" s="54" t="s">
        <v>136</v>
      </c>
      <c r="N18" s="55"/>
      <c r="O18" s="62">
        <f>IF('Getting Started'!G4=3,wing3_liftslope,0)</f>
        <v>0</v>
      </c>
    </row>
    <row r="19" spans="1:15" ht="12">
      <c r="A19" s="30" t="s">
        <v>172</v>
      </c>
      <c r="B19" s="23"/>
      <c r="C19" s="62">
        <f>wing1_ar</f>
        <v>18.02601179461157</v>
      </c>
      <c r="E19" s="30" t="s">
        <v>170</v>
      </c>
      <c r="F19" s="23"/>
      <c r="G19" s="66">
        <f>CLaw1*(_xac1-cgx)/ref_MAC</f>
        <v>0.8415613004047516</v>
      </c>
      <c r="I19" s="30" t="s">
        <v>170</v>
      </c>
      <c r="J19" s="23"/>
      <c r="K19" s="66">
        <f>CLaw2*(_xac2-cgx)/ref_MAC</f>
        <v>0</v>
      </c>
      <c r="M19" s="30" t="s">
        <v>170</v>
      </c>
      <c r="N19" s="23"/>
      <c r="O19" s="66">
        <f>CLaw3*(_xac3-cgx)/ref_MAC</f>
        <v>0</v>
      </c>
    </row>
    <row r="20" spans="1:3" ht="12">
      <c r="A20" s="51" t="s">
        <v>173</v>
      </c>
      <c r="B20" s="52"/>
      <c r="C20" s="62">
        <f>wing1_lam</f>
        <v>0.7441734497058413</v>
      </c>
    </row>
    <row r="21" spans="1:3" ht="12">
      <c r="A21" s="30" t="s">
        <v>137</v>
      </c>
      <c r="B21" s="23"/>
      <c r="C21" s="62">
        <f>wing1_rte</f>
        <v>-9.125</v>
      </c>
    </row>
    <row r="22" spans="1:3" ht="12">
      <c r="A22" s="57" t="s">
        <v>138</v>
      </c>
      <c r="B22" s="55"/>
      <c r="C22" s="62">
        <f>wing1_quartersweep</f>
        <v>1.978644068893607</v>
      </c>
    </row>
    <row r="24" spans="1:13" ht="12">
      <c r="A24" s="37" t="s">
        <v>141</v>
      </c>
      <c r="E24" s="37" t="s">
        <v>151</v>
      </c>
      <c r="I24" s="58" t="s">
        <v>153</v>
      </c>
      <c r="M24" s="59" t="s">
        <v>168</v>
      </c>
    </row>
    <row r="25" spans="1:15" ht="12">
      <c r="A25" s="46" t="s">
        <v>127</v>
      </c>
      <c r="B25" s="33"/>
      <c r="C25" s="67">
        <f>IF('Getting Started'!G9=TRUE,1,0)</f>
        <v>1</v>
      </c>
      <c r="E25" s="30" t="s">
        <v>127</v>
      </c>
      <c r="F25" s="23"/>
      <c r="G25" s="62">
        <f>IF(AND('Getting Started'!G11=TRUE,'V. Stab &amp; V-Tail'!B20&lt;90),1,0)</f>
        <v>0</v>
      </c>
      <c r="I25" s="60" t="s">
        <v>163</v>
      </c>
      <c r="J25" s="33"/>
      <c r="K25" s="62">
        <f>MAX(Fuselage!B9:B28)-MIN(Fuselage!B9:B28)</f>
        <v>55</v>
      </c>
      <c r="M25" s="46" t="s">
        <v>127</v>
      </c>
      <c r="N25" s="33"/>
      <c r="O25" s="67">
        <f>IF('Getting Started'!G10=TRUE,1,0)</f>
        <v>0</v>
      </c>
    </row>
    <row r="26" spans="1:15" ht="12">
      <c r="A26" s="31" t="s">
        <v>129</v>
      </c>
      <c r="B26" s="23"/>
      <c r="C26" s="66">
        <f>hstab_area*C25</f>
        <v>77</v>
      </c>
      <c r="E26" s="30" t="s">
        <v>177</v>
      </c>
      <c r="F26" s="23"/>
      <c r="G26" s="62">
        <f>vstab_area*G25</f>
        <v>0</v>
      </c>
      <c r="I26" s="61" t="s">
        <v>164</v>
      </c>
      <c r="J26" s="23"/>
      <c r="K26" s="62">
        <f>2*MAX(Fuselage!C9:C28)</f>
        <v>1.6</v>
      </c>
      <c r="M26" s="30" t="s">
        <v>129</v>
      </c>
      <c r="N26" s="23"/>
      <c r="O26" s="66">
        <f>canard_area*O25</f>
        <v>0</v>
      </c>
    </row>
    <row r="27" spans="1:15" ht="12">
      <c r="A27" s="30" t="s">
        <v>143</v>
      </c>
      <c r="B27" s="23"/>
      <c r="C27" s="62">
        <f>((G13*G16+K13*K16+O13*O16)/(G13+K13+O13)-hstab_ac)*C25</f>
        <v>36.0745779919098</v>
      </c>
      <c r="E27" s="30" t="s">
        <v>175</v>
      </c>
      <c r="F27" s="23"/>
      <c r="G27" s="66">
        <f>vtail_harea*G25</f>
        <v>0</v>
      </c>
      <c r="I27" s="61" t="s">
        <v>165</v>
      </c>
      <c r="J27" s="23"/>
      <c r="K27" s="62">
        <f>fuse_area</f>
        <v>43.337500000000006</v>
      </c>
      <c r="M27" s="30" t="s">
        <v>158</v>
      </c>
      <c r="N27" s="23"/>
      <c r="O27" s="62">
        <f>(canard_ac-cgx)*O25</f>
        <v>0</v>
      </c>
    </row>
    <row r="28" spans="1:16" ht="12">
      <c r="A28" s="51" t="s">
        <v>144</v>
      </c>
      <c r="B28" s="52"/>
      <c r="C28" s="62">
        <f>(trailing_edge-hstab_ac)*C25</f>
        <v>29.45454545454546</v>
      </c>
      <c r="E28" s="30" t="s">
        <v>176</v>
      </c>
      <c r="F28" s="23"/>
      <c r="G28" s="66">
        <f>vtail_varea*G25</f>
        <v>0</v>
      </c>
      <c r="I28" s="54" t="s">
        <v>170</v>
      </c>
      <c r="J28" s="55"/>
      <c r="K28" s="62">
        <f>fuse_dcmda</f>
        <v>0.008273082098584994</v>
      </c>
      <c r="M28" s="30" t="s">
        <v>136</v>
      </c>
      <c r="N28" s="23"/>
      <c r="O28" s="62">
        <f>canard_liftslope*O25</f>
        <v>0</v>
      </c>
      <c r="P28" s="6"/>
    </row>
    <row r="29" spans="1:15" ht="12">
      <c r="A29" s="30" t="s">
        <v>145</v>
      </c>
      <c r="B29" s="23"/>
      <c r="C29" s="62">
        <f>(cgx-hstab_ac)*C25</f>
        <v>34.95557213001898</v>
      </c>
      <c r="E29" s="30" t="s">
        <v>155</v>
      </c>
      <c r="F29" s="23"/>
      <c r="G29" s="62">
        <f>(vtail_z-z_center)*G25</f>
        <v>0</v>
      </c>
      <c r="M29" s="54" t="s">
        <v>169</v>
      </c>
      <c r="N29" s="55"/>
      <c r="O29" s="62">
        <f>O27*canard_area/(wing_area*ref_MAC)</f>
        <v>0</v>
      </c>
    </row>
    <row r="30" spans="1:15" ht="12">
      <c r="A30" s="51" t="s">
        <v>136</v>
      </c>
      <c r="B30" s="52"/>
      <c r="C30" s="62">
        <f>hstab_liftslope*C25</f>
        <v>4.820904758815828</v>
      </c>
      <c r="E30" s="46" t="s">
        <v>156</v>
      </c>
      <c r="F30" s="33"/>
      <c r="G30" s="62">
        <f>(ref_AC-vstab_ac)*G25</f>
        <v>0</v>
      </c>
      <c r="I30" s="59" t="s">
        <v>166</v>
      </c>
      <c r="M30" s="30" t="s">
        <v>170</v>
      </c>
      <c r="N30" s="23"/>
      <c r="O30" s="66">
        <f>CLac*Vc</f>
        <v>0</v>
      </c>
    </row>
    <row r="31" spans="1:11" ht="12">
      <c r="A31" s="30" t="s">
        <v>146</v>
      </c>
      <c r="B31" s="23"/>
      <c r="C31" s="62">
        <f>(1/ref_AR-1/(1+ref_AR^1.7))*C25</f>
        <v>0.04820094424324413</v>
      </c>
      <c r="E31" s="30" t="s">
        <v>157</v>
      </c>
      <c r="F31" s="23"/>
      <c r="G31" s="62">
        <f>(trailing_edge-vstab_ac)*G25</f>
        <v>0</v>
      </c>
      <c r="I31" s="30" t="s">
        <v>127</v>
      </c>
      <c r="J31" s="23"/>
      <c r="K31" s="62">
        <f>IF(AND('Getting Started'!G11=TRUE,'V. Stab &amp; V-Tail'!B20=90),1,0)</f>
        <v>1</v>
      </c>
    </row>
    <row r="32" spans="1:17" ht="12">
      <c r="A32" s="51" t="s">
        <v>147</v>
      </c>
      <c r="B32" s="52"/>
      <c r="C32" s="62">
        <f>(10-3*ref_lam)/7*C25</f>
        <v>1.109639950126068</v>
      </c>
      <c r="E32" s="51" t="s">
        <v>158</v>
      </c>
      <c r="F32" s="52"/>
      <c r="G32" s="62">
        <f>(cgx-vstab_ac)*G25</f>
        <v>0</v>
      </c>
      <c r="I32" s="31" t="s">
        <v>178</v>
      </c>
      <c r="J32" s="23"/>
      <c r="K32" s="66">
        <f>'V. Stab &amp; V-Tail'!A20*K31</f>
        <v>1</v>
      </c>
      <c r="L32" s="25"/>
      <c r="M32" s="26">
        <v>1</v>
      </c>
      <c r="N32" s="26">
        <v>1</v>
      </c>
      <c r="O32" s="26">
        <v>2</v>
      </c>
      <c r="P32" s="26"/>
      <c r="Q32" s="26"/>
    </row>
    <row r="33" spans="1:17" ht="12">
      <c r="A33" s="30" t="s">
        <v>148</v>
      </c>
      <c r="B33" s="23"/>
      <c r="C33" s="62">
        <f>IF(C27&lt;&gt;0,(1-hstab_z/ref_span)/(2/ref_span*C27)^(1/3)*C25,0)</f>
        <v>1.1927118633067708</v>
      </c>
      <c r="E33" s="30" t="s">
        <v>136</v>
      </c>
      <c r="F33" s="23"/>
      <c r="G33" s="62">
        <f>vtail_liftslope</f>
        <v>0</v>
      </c>
      <c r="H33" s="50"/>
      <c r="I33" s="1" t="s">
        <v>177</v>
      </c>
      <c r="J33" s="52"/>
      <c r="K33" s="66">
        <f>vstab_area*K31</f>
        <v>51</v>
      </c>
      <c r="L33" s="25"/>
      <c r="M33" s="27" t="s">
        <v>190</v>
      </c>
      <c r="N33" s="27" t="s">
        <v>192</v>
      </c>
      <c r="O33" s="27" t="s">
        <v>195</v>
      </c>
      <c r="P33" s="26"/>
      <c r="Q33" s="26"/>
    </row>
    <row r="34" spans="1:17" ht="12">
      <c r="A34" s="51" t="s">
        <v>142</v>
      </c>
      <c r="B34" s="52"/>
      <c r="C34" s="62">
        <f>4.44*(C31*C32*C33*(COS(quarter_sweep*PI()/180))^0.5)^1.19</f>
        <v>0.1678451998191999</v>
      </c>
      <c r="E34" s="51" t="s">
        <v>159</v>
      </c>
      <c r="F34" s="52"/>
      <c r="G34" s="62">
        <f>(1/ref_AR-1/(1+ref_AR^1.7))*G25</f>
        <v>0</v>
      </c>
      <c r="I34" s="30" t="s">
        <v>158</v>
      </c>
      <c r="J34" s="23"/>
      <c r="K34" s="66">
        <f>(cgx-vstab_ac)*K31</f>
        <v>39.36009530292449</v>
      </c>
      <c r="L34" s="25"/>
      <c r="M34" s="27" t="s">
        <v>191</v>
      </c>
      <c r="N34" s="27" t="s">
        <v>193</v>
      </c>
      <c r="O34" s="27" t="s">
        <v>196</v>
      </c>
      <c r="P34" s="26"/>
      <c r="Q34" s="26"/>
    </row>
    <row r="35" spans="1:17" ht="12">
      <c r="A35" s="30" t="s">
        <v>150</v>
      </c>
      <c r="B35" s="23"/>
      <c r="C35" s="62">
        <f>hstab_area*C29/(wing_area*ref_MAC)</f>
        <v>0.4077953663801169</v>
      </c>
      <c r="E35" s="30" t="s">
        <v>160</v>
      </c>
      <c r="F35" s="23"/>
      <c r="G35" s="62">
        <f>(10-3*ref_lam)/7*G25</f>
        <v>0</v>
      </c>
      <c r="I35" s="54" t="s">
        <v>167</v>
      </c>
      <c r="J35" s="55"/>
      <c r="K35" s="62">
        <f>vstab_area*K34/(wing_area*ref_span)</f>
        <v>0.018033600768794938</v>
      </c>
      <c r="L35" s="25"/>
      <c r="M35" s="27" t="s">
        <v>186</v>
      </c>
      <c r="N35" s="27" t="s">
        <v>188</v>
      </c>
      <c r="O35" s="27" t="s">
        <v>197</v>
      </c>
      <c r="P35" s="26"/>
      <c r="Q35" s="26"/>
    </row>
    <row r="36" spans="1:17" ht="12">
      <c r="A36" s="54" t="s">
        <v>149</v>
      </c>
      <c r="B36" s="55"/>
      <c r="C36" s="62">
        <f>IF(1-0.485/(C28/ref_MAC+0.3)&gt;0.6,1-0.485/(C28/ref_MAC+0.3),0.6)*C25</f>
        <v>0.8855692943100139</v>
      </c>
      <c r="E36" s="51" t="s">
        <v>161</v>
      </c>
      <c r="F36" s="52"/>
      <c r="G36" s="62">
        <f>IF(G30&lt;&gt;0,(1-G29/ref_span)/(2/ref_span*G30)^(1/3)*G25,0)</f>
        <v>0</v>
      </c>
      <c r="L36" s="25"/>
      <c r="M36" s="27" t="s">
        <v>184</v>
      </c>
      <c r="N36" s="27" t="s">
        <v>189</v>
      </c>
      <c r="O36" s="27" t="s">
        <v>198</v>
      </c>
      <c r="P36" s="26"/>
      <c r="Q36" s="26"/>
    </row>
    <row r="37" spans="1:17" ht="12">
      <c r="A37" s="30" t="s">
        <v>170</v>
      </c>
      <c r="B37" s="23"/>
      <c r="C37" s="66">
        <f>-CLah*(1-dedah)*nh*Vh</f>
        <v>-1.4487635498608769</v>
      </c>
      <c r="E37" s="30" t="s">
        <v>142</v>
      </c>
      <c r="F37" s="23"/>
      <c r="G37" s="62">
        <f>4.44*(G34*G35*G36*(COS(quarter_sweep*PI()/180))^0.5)^1.19</f>
        <v>0</v>
      </c>
      <c r="L37" s="25"/>
      <c r="M37" s="27" t="s">
        <v>187</v>
      </c>
      <c r="N37" s="26">
        <v>1</v>
      </c>
      <c r="O37" s="27" t="s">
        <v>199</v>
      </c>
      <c r="P37" s="26"/>
      <c r="Q37" s="26"/>
    </row>
    <row r="38" spans="5:17" ht="12">
      <c r="E38" s="51" t="s">
        <v>150</v>
      </c>
      <c r="F38" s="52"/>
      <c r="G38" s="62">
        <f>vtail_harea*G32/(wing_area*ref_MAC)</f>
        <v>0</v>
      </c>
      <c r="L38" s="25"/>
      <c r="M38" s="27" t="s">
        <v>185</v>
      </c>
      <c r="N38" s="26"/>
      <c r="O38" s="27" t="s">
        <v>200</v>
      </c>
      <c r="P38" s="26"/>
      <c r="Q38" s="26"/>
    </row>
    <row r="39" spans="5:17" ht="12">
      <c r="E39" s="30" t="s">
        <v>162</v>
      </c>
      <c r="F39" s="23"/>
      <c r="G39" s="62">
        <f>IF(1-0.485/(G31/ref_MAC+0.3)&gt;0.6,1-0.485/(G31/ref_MAC+0.3),0.6)*G25</f>
        <v>0</v>
      </c>
      <c r="L39" s="25"/>
      <c r="M39" s="27">
        <f>M32</f>
        <v>1</v>
      </c>
      <c r="N39" s="27">
        <f>N32</f>
        <v>1</v>
      </c>
      <c r="O39" s="27">
        <f>N37</f>
        <v>1</v>
      </c>
      <c r="P39" s="27">
        <f>O32</f>
        <v>2</v>
      </c>
      <c r="Q39" s="26"/>
    </row>
    <row r="40" spans="5:17" ht="12">
      <c r="E40" s="54" t="s">
        <v>152</v>
      </c>
      <c r="F40" s="55"/>
      <c r="G40" s="62">
        <f>vtail_varea*G32/(wing_area*ref_span)</f>
        <v>0</v>
      </c>
      <c r="M40" s="27">
        <f>-ref_span*13/24</f>
        <v>-68.31980472827622</v>
      </c>
      <c r="N40" s="26">
        <v>0</v>
      </c>
      <c r="O40" s="27">
        <f>-ref_span/2</f>
        <v>-63.06443513379343</v>
      </c>
      <c r="P40" s="68">
        <f>N40-cgx</f>
        <v>3.623973324526485</v>
      </c>
      <c r="Q40" s="27">
        <f>-P40/2</f>
        <v>-1.8119866622632426</v>
      </c>
    </row>
    <row r="41" spans="5:17" ht="12">
      <c r="E41" s="30" t="s">
        <v>170</v>
      </c>
      <c r="F41" s="23"/>
      <c r="G41" s="66">
        <f>-CLav*(1-dedav)*nv*Vv</f>
        <v>0</v>
      </c>
      <c r="M41" s="27">
        <f>ref_span*13/24</f>
        <v>68.31980472827622</v>
      </c>
      <c r="N41" s="26">
        <v>0</v>
      </c>
      <c r="O41" s="27">
        <f>ref_span/2</f>
        <v>63.06443513379343</v>
      </c>
      <c r="P41" s="68">
        <f>N41-C6</f>
        <v>4.378760428379474</v>
      </c>
      <c r="Q41" s="27">
        <f>-P41/2</f>
        <v>-2.189380214189737</v>
      </c>
    </row>
  </sheetData>
  <sheetProtection password="AE35" sheet="1" objects="1" scenarios="1" formatCells="0"/>
  <mergeCells count="6">
    <mergeCell ref="G8:G9"/>
    <mergeCell ref="E8:F9"/>
    <mergeCell ref="N4:P6"/>
    <mergeCell ref="J4:L6"/>
    <mergeCell ref="E4:F6"/>
    <mergeCell ref="E7:H7"/>
  </mergeCells>
  <printOptions/>
  <pageMargins left="0.75" right="0.75" top="1" bottom="1" header="0.5" footer="0.5"/>
  <pageSetup horizontalDpi="600" verticalDpi="600" orientation="portrait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23"/>
  <sheetViews>
    <sheetView showGridLines="0" workbookViewId="0" topLeftCell="A1">
      <selection activeCell="H17" sqref="H17"/>
    </sheetView>
  </sheetViews>
  <sheetFormatPr defaultColWidth="8.8515625" defaultRowHeight="12.75"/>
  <sheetData>
    <row r="1" ht="12.75">
      <c r="A1" s="2" t="s">
        <v>225</v>
      </c>
    </row>
    <row r="2" ht="12">
      <c r="A2" t="s">
        <v>227</v>
      </c>
    </row>
    <row r="3" ht="12">
      <c r="A3" t="s">
        <v>226</v>
      </c>
    </row>
    <row r="5" ht="12">
      <c r="A5" s="80" t="s">
        <v>216</v>
      </c>
    </row>
    <row r="6" ht="12">
      <c r="B6" s="81" t="s">
        <v>217</v>
      </c>
    </row>
    <row r="7" ht="12">
      <c r="B7" t="s">
        <v>218</v>
      </c>
    </row>
    <row r="9" ht="12">
      <c r="A9" s="80" t="s">
        <v>219</v>
      </c>
    </row>
    <row r="10" ht="12">
      <c r="B10" t="s">
        <v>220</v>
      </c>
    </row>
    <row r="12" ht="12">
      <c r="A12" s="80" t="s">
        <v>221</v>
      </c>
    </row>
    <row r="13" ht="12">
      <c r="B13" t="s">
        <v>222</v>
      </c>
    </row>
    <row r="14" ht="12">
      <c r="B14" t="s">
        <v>223</v>
      </c>
    </row>
    <row r="16" ht="12">
      <c r="A16" s="80" t="s">
        <v>224</v>
      </c>
    </row>
    <row r="19" ht="12.75">
      <c r="A19" s="82" t="s">
        <v>228</v>
      </c>
    </row>
    <row r="20" ht="12">
      <c r="A20" t="s">
        <v>229</v>
      </c>
    </row>
    <row r="21" ht="12">
      <c r="A21" t="s">
        <v>230</v>
      </c>
    </row>
    <row r="22" ht="12">
      <c r="A22" t="s">
        <v>231</v>
      </c>
    </row>
    <row r="23" ht="12">
      <c r="A23" t="s">
        <v>232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Prosser</dc:creator>
  <cp:keywords/>
  <dc:description/>
  <cp:lastModifiedBy>Bill Kleinsasser</cp:lastModifiedBy>
  <dcterms:created xsi:type="dcterms:W3CDTF">2009-12-09T00:59:25Z</dcterms:created>
  <dcterms:modified xsi:type="dcterms:W3CDTF">2013-11-15T19:12:43Z</dcterms:modified>
  <cp:category/>
  <cp:version/>
  <cp:contentType/>
  <cp:contentStatus/>
</cp:coreProperties>
</file>